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" activeTab="1"/>
  </bookViews>
  <sheets>
    <sheet name="Лист1" sheetId="1" state="hidden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<sst xmlns="http://schemas.openxmlformats.org/spreadsheetml/2006/main" count="944" uniqueCount="230">
  <si>
    <t>№ п/п</t>
  </si>
  <si>
    <t>Наименование работ</t>
  </si>
  <si>
    <t>Адрес</t>
  </si>
  <si>
    <t>Ед. изм.</t>
  </si>
  <si>
    <t>III</t>
  </si>
  <si>
    <t>IV</t>
  </si>
  <si>
    <t xml:space="preserve">1.  За счет средств местного бюджета : </t>
  </si>
  <si>
    <t>5.1</t>
  </si>
  <si>
    <t xml:space="preserve">ВСЕГО ПО РАЗДЕЛАМ </t>
  </si>
  <si>
    <t>технический надзор</t>
  </si>
  <si>
    <t>ИТОГО</t>
  </si>
  <si>
    <t>м/п</t>
  </si>
  <si>
    <t>шт</t>
  </si>
  <si>
    <t>кв.м.</t>
  </si>
  <si>
    <t>Объем в натур. Показат</t>
  </si>
  <si>
    <t>косгу</t>
  </si>
  <si>
    <t>Технический надзор</t>
  </si>
  <si>
    <t>Сумма  (лимит)           (тыс. руб.)</t>
  </si>
  <si>
    <t>№ группы код ОКПД  ОКВЭД</t>
  </si>
  <si>
    <t>221         4540030    45.25.6</t>
  </si>
  <si>
    <t>174         7421012      74.20.11</t>
  </si>
  <si>
    <t>221         4540030    45.23.2</t>
  </si>
  <si>
    <t>в том числе по кварталам</t>
  </si>
  <si>
    <t>I</t>
  </si>
  <si>
    <t>II</t>
  </si>
  <si>
    <t>куб.м.</t>
  </si>
  <si>
    <t>0503 60000 00131 244 226</t>
  </si>
  <si>
    <t>0503 60000 00151 244 226</t>
  </si>
  <si>
    <t>площ.</t>
  </si>
  <si>
    <t>дет/пл</t>
  </si>
  <si>
    <t>ед</t>
  </si>
  <si>
    <t>территории кварталов 22 "А", 22 "Б", 24 "А", 24 "Б", 25 "А", 28 "А", 29 "А", 30 "А", 31 "Б", 33 "А", 9 "Г"</t>
  </si>
  <si>
    <t xml:space="preserve"> (содержание , ремонт оборудования  на площадках) ( квартала 22 "А", 22 "Б", 24 "А", 24 "Б", 25 "А", 28 "А", 29 "А", 30 "А", 31 "Б", 33 "А", 9 "Г")</t>
  </si>
  <si>
    <t>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местного значения</t>
  </si>
  <si>
    <t>0503 60000 00164 244 226</t>
  </si>
  <si>
    <t>ремонт ограждений газонов</t>
  </si>
  <si>
    <t>адрес</t>
  </si>
  <si>
    <t>нанесение разметки "выгул собак запрещен" на покрытие при заходе на дет. площадки при помощи трафатета</t>
  </si>
  <si>
    <t>м. кв.</t>
  </si>
  <si>
    <t>нанесение разметки  на асфальтовом покрытии при помощи трафарета "инвалид"</t>
  </si>
  <si>
    <t xml:space="preserve">Начальник отдела благоустройства                                                                                Кузнецов А. Е. </t>
  </si>
  <si>
    <t xml:space="preserve">инв. № 34-68-22 Внутриквартальный сквер б/н во дворе д.1 по Долгоозёрной ул. </t>
  </si>
  <si>
    <t>222         4540030    45.25.6</t>
  </si>
  <si>
    <t xml:space="preserve">Раздел 1. </t>
  </si>
  <si>
    <t>размещение, содержание спортивных, детских площадок, включая ремонт расположенных на них элементов благоустройства, на внутриквартальных территориях;</t>
  </si>
  <si>
    <t>временное размещение, содержание, включая ремонт, элементов оформления Санкт-Петербурга к мероприятиям, в том числе культурно-массовым мероприятиям, городского, всероссийского и международного значения на внутриквартальных территориях;</t>
  </si>
  <si>
    <t>территория МО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</si>
  <si>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 внутриквартальных территориях муниципального образования;</t>
  </si>
  <si>
    <t> 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контролю;</t>
  </si>
  <si>
    <t>0605 60000 00171 244 226</t>
  </si>
  <si>
    <t>обеспечение проектирования благоустройства при размещении элементов благоустройства, указанных в абзацах четвертом - седьмом настоящего подпункта;</t>
  </si>
  <si>
    <t>организацию работ по компенсационному озеленению в отношении территорий зеленых насаждений общего пользования местного значения, осуществляемому в соответствии с законом Санкт-Петербурга;</t>
  </si>
  <si>
    <t>содержание, в том числе уборку, территорий зеленых насаждений общего пользования местного значения (включая расположенных на них элементов благоустройства), защиту зеленых насаждений на указанных территориях;</t>
  </si>
  <si>
    <t>создание (размещение), переустройство, восстановление и ремонт объектов зеленых насаждений, расположенных на территориях зеленых насаждений общего пользования местного значения;</t>
  </si>
  <si>
    <t>мест</t>
  </si>
  <si>
    <t xml:space="preserve">рубка деревьев, удаление больных деревьев на ЗНОП МЗ  (по порубочным билетам) </t>
  </si>
  <si>
    <t xml:space="preserve">компенсационное озеленение   </t>
  </si>
  <si>
    <t xml:space="preserve">Раздел 2.  </t>
  </si>
  <si>
    <t>3</t>
  </si>
  <si>
    <t>4</t>
  </si>
  <si>
    <t>Раздел 3</t>
  </si>
  <si>
    <t>Раздел 4</t>
  </si>
  <si>
    <t>0503 60000 00131 244 310</t>
  </si>
  <si>
    <t>0503 60000 00131 244 225</t>
  </si>
  <si>
    <t>0503 60000 00131 853 297</t>
  </si>
  <si>
    <t xml:space="preserve"> ремонт и и содержние информац носителей </t>
  </si>
  <si>
    <t>инв. № 34-68-23 аллея на Комендантском пр. у д. 22, корп. 1</t>
  </si>
  <si>
    <t>инв. № 34-68-24 сквер б/н на Ольховой ул. у д. 2</t>
  </si>
  <si>
    <t>инв. № 34-68-25 сквер б/н на ул. Маршала Новикова у д. 1, корп. 1</t>
  </si>
  <si>
    <r>
      <t xml:space="preserve">проведения санитарных </t>
    </r>
    <r>
      <rPr>
        <b/>
        <sz val="11"/>
        <rFont val="Times New Roman"/>
        <family val="1"/>
      </rPr>
      <t>рубок</t>
    </r>
    <r>
      <rPr>
        <sz val="10"/>
        <rFont val="Times New Roman"/>
        <family val="1"/>
      </rPr>
      <t xml:space="preserve"> (в том числе удаление аварийных, больных деревьев и кустарников) на территориях, не относящихся к территориям зеленых насаждений в соответствии с законом Санкт-Петербурга</t>
    </r>
  </si>
  <si>
    <t xml:space="preserve"> скверы  ЗНОП МЗ</t>
  </si>
  <si>
    <t>ул. Ильюшина д. 15 корп. 2 (асф. Проезд)</t>
  </si>
  <si>
    <t>мероприятия по обеспечению доступности городской среды для МГН (занижение б/к  адреса МО: ул. М. Новикова д. 7 -3  места; пр. Испытателей д. 31 корп. 1 -1 место))</t>
  </si>
  <si>
    <t>содержание внутриквартальных территорий в части обеспечения ремонта покрытий, расположенных на внутриквартальных территориях, и проведения санитарных рубок (в том числе удаление аварийных, больных деревьев и кустарников) на территориях, не относящихся к территориям зеленых насаждений в соответствии с законом Санкт-Петербурга;</t>
  </si>
  <si>
    <r>
      <rPr>
        <b/>
        <sz val="9"/>
        <rFont val="Times New Roman"/>
        <family val="1"/>
      </rPr>
      <t xml:space="preserve">уход и стрижка кустарников </t>
    </r>
    <r>
      <rPr>
        <sz val="9"/>
        <rFont val="Times New Roman"/>
        <family val="1"/>
      </rPr>
      <t>(адреса МО: )</t>
    </r>
  </si>
  <si>
    <t>смена песка в песочницах ( два раза в сезон)</t>
  </si>
  <si>
    <t>нанесений</t>
  </si>
  <si>
    <t xml:space="preserve">инв. № 34-68-1 Внутриквартальный сквер на пр.Сизова, д.34 </t>
  </si>
  <si>
    <t xml:space="preserve">инв. № 34-68-2  Внутриквартальный сквер на пр.Авиаконструкторов, д.6, д.8 </t>
  </si>
  <si>
    <t>инв. № 34-68-3  Внутриквартальный сквер между д.18, д.20, корп.2,3, д.22, корп.1,2, д.24, корп.1,2 по Комендантскому пр. и д.3, корп.2, д.13, корп.1,2 по пр. Авиаконструкторов</t>
  </si>
  <si>
    <t>инв. № 34-68-4  Внутриквартальный сквер между д.18 по ул.Ольховой и д.19, корп.2 по Комендантскому пр.</t>
  </si>
  <si>
    <t>инв. № 34-68-5  Внутриквартальный сквер на ул.Гаккелевская, д.25, корп.1</t>
  </si>
  <si>
    <t>инв. № 34-68-6 Внутриквартальный сквер на ул.Маршала Новикова, д.1, корп.3</t>
  </si>
  <si>
    <t xml:space="preserve">инв. № 34-68-7 Внутриквартальный сквер на пр.Сизова, д.32, корп.1 </t>
  </si>
  <si>
    <t xml:space="preserve">инв. № 34-68-8  Байконурская улица, участок 3, (внутриквартальный сквер у д.24, лит.А по Байконурской ул.) </t>
  </si>
  <si>
    <t xml:space="preserve">инв. № 34-68-9 улица Маршала Новикова, участок 1, (внутриквартальный сквер севернее д.27, корп.2, лит.А по пр.Королёва) </t>
  </si>
  <si>
    <t xml:space="preserve">инв. № 34-68-10 улица Маршала Новикова, участок 2, (внутриквартальный сквер восточнее д.17, лит.А по ул.Маршала Новикова) </t>
  </si>
  <si>
    <t xml:space="preserve">инв. № 34-68-11 улица Маршала Новикова, участок 3, (внутриквартальный сквер восточнее д.9, лит.А по ул.Маршала Новикова) </t>
  </si>
  <si>
    <t xml:space="preserve">инв. № 34-68-12  улица Уточкина, участок 1, (внутриквартальный сквер севернее д.2, корп.2, лит.А по ул.Уточкина) </t>
  </si>
  <si>
    <t>инв. № 34-68-13 улица Уточкина, участок 2, (внутриквартальный сквер южнее д.7, лит.А по ул.Уточкина)</t>
  </si>
  <si>
    <t>инв. № 34-68-14  улица Уточкина, участок 3, (внутриквартальный сквер северо-восточнее д.1, корп.1, лит.А по ул.Уточкина)</t>
  </si>
  <si>
    <t xml:space="preserve">инв. № 34-68-15  Комендантский проспект, участок 12, (внутриквартальный сквер южнее д.8, корп.3, лит.А по Комендантскому пр.) </t>
  </si>
  <si>
    <t xml:space="preserve">инв. № 34-68-16  Гаккелевская улица, участок 1, (внутриквартальный сквер южнее д.31, корп.2, лит.А по Гаккелевской ул.) </t>
  </si>
  <si>
    <t>инв. № 34-68-17  проспект Авиаконструкторов, участок 10, (внутриквартальный сквер восточнее д.11, корп.1, лит.А по пр.Авиаконструкторов)</t>
  </si>
  <si>
    <t>инв. № 34-68-18  проспект Авиаконструкторов, участок 11, (внутриквартальный сквер юго-восточнее д.15, корп.1, лит.А по пр.Авиаконструкторов)</t>
  </si>
  <si>
    <t xml:space="preserve">инв. № 34-68-19  улица Ильюшина,участок 74, ( внутриквартальный сквер во дворе д. 6  лит. А </t>
  </si>
  <si>
    <t xml:space="preserve">инв. № 34-68-20  проспект Королева, участок 49, ( внутриквартальный сквер вокруг д. 24 корп. 2, лит. А </t>
  </si>
  <si>
    <t xml:space="preserve">инв. № 34-68-21  улица Ильюшина, участок 75, ( внутриквартальный сквер восточнее д. 11, лит. А </t>
  </si>
  <si>
    <t xml:space="preserve">                              УТВЕРЖДЕНО
Распоряжением МА МО МО Озеро Долгое
от ___ ___.20___ №01-04/__  Приложение № ___    
</t>
  </si>
  <si>
    <r>
      <rPr>
        <b/>
        <sz val="11"/>
        <rFont val="Times New Roman"/>
        <family val="1"/>
      </rPr>
      <t>уход и стрижка кустарников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(адреса МО: </t>
    </r>
    <r>
      <rPr>
        <b/>
        <sz val="10"/>
        <rFont val="Times New Roman"/>
        <family val="1"/>
      </rPr>
      <t>)</t>
    </r>
  </si>
  <si>
    <t xml:space="preserve">кв.м.  </t>
  </si>
  <si>
    <t xml:space="preserve">кв.м. </t>
  </si>
  <si>
    <r>
      <t xml:space="preserve"> пр. Сизова д. 22 </t>
    </r>
    <r>
      <rPr>
        <b/>
        <sz val="9"/>
        <rFont val="Times New Roman"/>
        <family val="1"/>
      </rPr>
      <t xml:space="preserve">(по проекту </t>
    </r>
    <r>
      <rPr>
        <sz val="9"/>
        <rFont val="Times New Roman"/>
        <family val="1"/>
      </rPr>
      <t xml:space="preserve">установка детского и спортивного оборудования ) </t>
    </r>
  </si>
  <si>
    <r>
      <t xml:space="preserve"> ул.М. Новикова д. 3 </t>
    </r>
    <r>
      <rPr>
        <b/>
        <sz val="9"/>
        <rFont val="Times New Roman"/>
        <family val="1"/>
      </rPr>
      <t xml:space="preserve">(по проекту </t>
    </r>
    <r>
      <rPr>
        <sz val="9"/>
        <rFont val="Times New Roman"/>
        <family val="1"/>
      </rPr>
      <t>установка детского и спортивного оборудования</t>
    </r>
    <r>
      <rPr>
        <b/>
        <sz val="9"/>
        <rFont val="Times New Roman"/>
        <family val="1"/>
      </rPr>
      <t xml:space="preserve"> )  </t>
    </r>
  </si>
  <si>
    <t>тек ремонт асф покрытия (адреса МО  )</t>
  </si>
  <si>
    <r>
      <t>разработка проектной документации по благоустройству   (</t>
    </r>
    <r>
      <rPr>
        <u val="single"/>
        <sz val="10"/>
        <rFont val="Times New Roman"/>
        <family val="1"/>
      </rPr>
      <t xml:space="preserve">ул. Парашютная д. 22 </t>
    </r>
    <r>
      <rPr>
        <sz val="10"/>
        <rFont val="Times New Roman"/>
        <family val="1"/>
      </rPr>
      <t xml:space="preserve">- реконстр-я д/пл;  </t>
    </r>
    <r>
      <rPr>
        <u val="single"/>
        <sz val="10"/>
        <rFont val="Times New Roman"/>
        <family val="1"/>
      </rPr>
      <t xml:space="preserve">пр. Сизова д. 34/18 </t>
    </r>
    <r>
      <rPr>
        <sz val="10"/>
        <rFont val="Times New Roman"/>
        <family val="1"/>
      </rPr>
      <t xml:space="preserve">- реконстр-я д/пл; </t>
    </r>
    <r>
      <rPr>
        <u val="single"/>
        <sz val="10"/>
        <rFont val="Times New Roman"/>
        <family val="1"/>
      </rPr>
      <t>ул. Парашютная д. 20</t>
    </r>
    <r>
      <rPr>
        <sz val="10"/>
        <rFont val="Times New Roman"/>
        <family val="1"/>
      </rPr>
      <t xml:space="preserve"> -реконстр-я д/пл.)</t>
    </r>
  </si>
  <si>
    <r>
      <t>ул. Маршала Новикова д. 3                      (</t>
    </r>
    <r>
      <rPr>
        <b/>
        <u val="single"/>
        <sz val="10"/>
        <rFont val="Times New Roman"/>
        <family val="1"/>
      </rPr>
      <t>по проекту</t>
    </r>
    <r>
      <rPr>
        <sz val="10"/>
        <rFont val="Times New Roman"/>
        <family val="1"/>
      </rPr>
      <t xml:space="preserve">: плитка, набивное, резина) </t>
    </r>
  </si>
  <si>
    <r>
      <t>ул. Маршала Новикова д. 13 корп. 1        (</t>
    </r>
    <r>
      <rPr>
        <b/>
        <u val="single"/>
        <sz val="10"/>
        <rFont val="Times New Roman"/>
        <family val="1"/>
      </rPr>
      <t>по проекту</t>
    </r>
    <r>
      <rPr>
        <sz val="10"/>
        <rFont val="Times New Roman"/>
        <family val="1"/>
      </rPr>
      <t xml:space="preserve">: плитка, набивное, резина)  </t>
    </r>
  </si>
  <si>
    <r>
      <t>пр. Сизова д. 22      (</t>
    </r>
    <r>
      <rPr>
        <b/>
        <u val="single"/>
        <sz val="10"/>
        <rFont val="Times New Roman"/>
        <family val="1"/>
      </rPr>
      <t>по проекту</t>
    </r>
    <r>
      <rPr>
        <sz val="10"/>
        <rFont val="Times New Roman"/>
        <family val="1"/>
      </rPr>
      <t xml:space="preserve">: плитка, набивное, резина) </t>
    </r>
  </si>
  <si>
    <r>
      <t>ул. Ольховая д. 2      (</t>
    </r>
    <r>
      <rPr>
        <b/>
        <u val="single"/>
        <sz val="10"/>
        <rFont val="Times New Roman"/>
        <family val="1"/>
      </rPr>
      <t>по проекту</t>
    </r>
    <r>
      <rPr>
        <sz val="10"/>
        <rFont val="Times New Roman"/>
        <family val="1"/>
      </rPr>
      <t xml:space="preserve">: плитка, набивное, резина) </t>
    </r>
  </si>
  <si>
    <r>
      <t xml:space="preserve">пр. Сизова д. 22 </t>
    </r>
    <r>
      <rPr>
        <b/>
        <sz val="9"/>
        <rFont val="Times New Roman"/>
        <family val="1"/>
      </rPr>
      <t xml:space="preserve">(по проекту:  </t>
    </r>
    <r>
      <rPr>
        <sz val="9"/>
        <rFont val="Times New Roman"/>
        <family val="1"/>
      </rPr>
      <t xml:space="preserve">установка ограждений </t>
    </r>
    <r>
      <rPr>
        <b/>
        <sz val="9"/>
        <rFont val="Times New Roman"/>
        <family val="1"/>
      </rPr>
      <t xml:space="preserve">) </t>
    </r>
  </si>
  <si>
    <r>
      <t xml:space="preserve"> ул.М. Новикова д. 3 </t>
    </r>
    <r>
      <rPr>
        <b/>
        <sz val="9"/>
        <rFont val="Times New Roman"/>
        <family val="1"/>
      </rPr>
      <t xml:space="preserve">(по проекту:  </t>
    </r>
    <r>
      <rPr>
        <sz val="9"/>
        <rFont val="Times New Roman"/>
        <family val="1"/>
      </rPr>
      <t>установка ограждений )</t>
    </r>
    <r>
      <rPr>
        <b/>
        <sz val="9"/>
        <rFont val="Times New Roman"/>
        <family val="1"/>
      </rPr>
      <t xml:space="preserve">  </t>
    </r>
  </si>
  <si>
    <r>
      <t xml:space="preserve"> ул.Ольховая д. 2 </t>
    </r>
    <r>
      <rPr>
        <b/>
        <sz val="9"/>
        <rFont val="Times New Roman"/>
        <family val="1"/>
      </rPr>
      <t xml:space="preserve">(по проекту:  </t>
    </r>
    <r>
      <rPr>
        <sz val="9"/>
        <rFont val="Times New Roman"/>
        <family val="1"/>
      </rPr>
      <t>установка ограждений )</t>
    </r>
    <r>
      <rPr>
        <b/>
        <sz val="9"/>
        <rFont val="Times New Roman"/>
        <family val="1"/>
      </rPr>
      <t xml:space="preserve">  </t>
    </r>
  </si>
  <si>
    <r>
      <rPr>
        <b/>
        <sz val="9"/>
        <rFont val="Times New Roman"/>
        <family val="1"/>
      </rPr>
      <t>демонтаж  оборудования</t>
    </r>
    <r>
      <rPr>
        <sz val="9"/>
        <rFont val="Times New Roman"/>
        <family val="1"/>
      </rPr>
      <t xml:space="preserve"> (</t>
    </r>
    <r>
      <rPr>
        <b/>
        <u val="single"/>
        <sz val="9"/>
        <rFont val="Times New Roman"/>
        <family val="1"/>
      </rPr>
      <t xml:space="preserve">по проектам </t>
    </r>
    <r>
      <rPr>
        <sz val="9"/>
        <rFont val="Times New Roman"/>
        <family val="1"/>
      </rPr>
      <t xml:space="preserve">: пр. Сизова д. 22, ул. М. Новикова д. 3, ул. Ольховая д. 2, ул. М. Новикова д. 13 корп. 1) </t>
    </r>
  </si>
  <si>
    <r>
      <t>ул. М. Новикова д. 13 корп. 1(</t>
    </r>
    <r>
      <rPr>
        <b/>
        <u val="single"/>
        <sz val="9"/>
        <rFont val="Times New Roman"/>
        <family val="1"/>
      </rPr>
      <t>по проекту</t>
    </r>
    <r>
      <rPr>
        <sz val="9"/>
        <rFont val="Times New Roman"/>
        <family val="1"/>
      </rPr>
      <t xml:space="preserve">:  установка ограждений )  </t>
    </r>
  </si>
  <si>
    <r>
      <rPr>
        <b/>
        <sz val="9"/>
        <rFont val="Times New Roman"/>
        <family val="1"/>
      </rPr>
      <t>демонтаж  ограждений</t>
    </r>
    <r>
      <rPr>
        <sz val="9"/>
        <rFont val="Times New Roman"/>
        <family val="1"/>
      </rPr>
      <t xml:space="preserve"> (</t>
    </r>
    <r>
      <rPr>
        <b/>
        <u val="single"/>
        <sz val="9"/>
        <rFont val="Times New Roman"/>
        <family val="1"/>
      </rPr>
      <t xml:space="preserve">по проектам </t>
    </r>
    <r>
      <rPr>
        <sz val="9"/>
        <rFont val="Times New Roman"/>
        <family val="1"/>
      </rPr>
      <t xml:space="preserve">: пр. Сизова д. 22, ул. М. Новикова д. 3, ул. Ольховая д. 2, ул. М. Новикова д. 13 корп. 1) </t>
    </r>
  </si>
  <si>
    <r>
      <t xml:space="preserve"> ул. Ольховая д. 2 </t>
    </r>
    <r>
      <rPr>
        <b/>
        <sz val="9"/>
        <rFont val="Times New Roman"/>
        <family val="1"/>
      </rPr>
      <t xml:space="preserve">(по проекту </t>
    </r>
    <r>
      <rPr>
        <sz val="9"/>
        <rFont val="Times New Roman"/>
        <family val="1"/>
      </rPr>
      <t>установка детского и спортивного оборудования</t>
    </r>
    <r>
      <rPr>
        <b/>
        <sz val="9"/>
        <rFont val="Times New Roman"/>
        <family val="1"/>
      </rPr>
      <t xml:space="preserve"> )  </t>
    </r>
  </si>
  <si>
    <r>
      <rPr>
        <b/>
        <sz val="9"/>
        <rFont val="Times New Roman"/>
        <family val="1"/>
      </rPr>
      <t xml:space="preserve">уходы за посаженными насаждениями  </t>
    </r>
    <r>
      <rPr>
        <sz val="9"/>
        <rFont val="Times New Roman"/>
        <family val="1"/>
      </rPr>
      <t xml:space="preserve"> (по проектам : пр. Сизова д. 22, ул. М. Новикова д. 3, ул. Ольховая д. 2, ул. М. Новикова д. 13 корп. 1) </t>
    </r>
  </si>
  <si>
    <r>
      <rPr>
        <b/>
        <sz val="9"/>
        <rFont val="Times New Roman"/>
        <family val="1"/>
      </rPr>
      <t xml:space="preserve">посадки </t>
    </r>
    <r>
      <rPr>
        <sz val="9"/>
        <rFont val="Times New Roman"/>
        <family val="1"/>
      </rPr>
      <t xml:space="preserve"> (по проектам : пр. Сизова д. 22, ул. М. Новикова д. 3, ул. Ольховая д. 2, ул. М. Новикова д. 13 корп. 1) </t>
    </r>
  </si>
  <si>
    <r>
      <rPr>
        <b/>
        <sz val="9"/>
        <rFont val="Times New Roman"/>
        <family val="1"/>
      </rPr>
      <t xml:space="preserve">ремонт и устройство газонов </t>
    </r>
    <r>
      <rPr>
        <sz val="9"/>
        <rFont val="Times New Roman"/>
        <family val="1"/>
      </rPr>
      <t xml:space="preserve">  (по проектам : пр. Сизова д. 22, ул. М. Новикова д. 3, ул. Ольховая д. 2, ул. М. Новикова д. 13 корп. 1) </t>
    </r>
  </si>
  <si>
    <r>
      <rPr>
        <b/>
        <sz val="9"/>
        <rFont val="Times New Roman"/>
        <family val="1"/>
      </rPr>
      <t xml:space="preserve">валка и санпрочиска </t>
    </r>
    <r>
      <rPr>
        <sz val="9"/>
        <rFont val="Times New Roman"/>
        <family val="1"/>
      </rPr>
      <t xml:space="preserve"> (</t>
    </r>
    <r>
      <rPr>
        <b/>
        <u val="single"/>
        <sz val="9"/>
        <rFont val="Times New Roman"/>
        <family val="1"/>
      </rPr>
      <t xml:space="preserve">по проектам </t>
    </r>
    <r>
      <rPr>
        <sz val="9"/>
        <rFont val="Times New Roman"/>
        <family val="1"/>
      </rPr>
      <t xml:space="preserve">: пр. Сизова д. 22, ул. М. Новикова д. 3, ул. Ольховая д. 2, ул. М. Новикова д. 13 корп. 1) </t>
    </r>
  </si>
  <si>
    <r>
      <t>пр. Сизова д. 22 (</t>
    </r>
    <r>
      <rPr>
        <b/>
        <u val="single"/>
        <sz val="9"/>
        <rFont val="Times New Roman"/>
        <family val="1"/>
      </rPr>
      <t>по проекту</t>
    </r>
    <r>
      <rPr>
        <sz val="9"/>
        <rFont val="Times New Roman"/>
        <family val="1"/>
      </rPr>
      <t xml:space="preserve">: скамейки, урны, инф. стенд) </t>
    </r>
  </si>
  <si>
    <r>
      <t xml:space="preserve"> ул. Маршала Новикова д. 3 (</t>
    </r>
    <r>
      <rPr>
        <b/>
        <u val="single"/>
        <sz val="9"/>
        <rFont val="Times New Roman"/>
        <family val="1"/>
      </rPr>
      <t>по проекту</t>
    </r>
    <r>
      <rPr>
        <sz val="9"/>
        <rFont val="Times New Roman"/>
        <family val="1"/>
      </rPr>
      <t>: скамейки, урны, инф стенды)</t>
    </r>
  </si>
  <si>
    <r>
      <t xml:space="preserve"> ул. Маршала Новикова д. 13 корп. 1 (</t>
    </r>
    <r>
      <rPr>
        <b/>
        <u val="single"/>
        <sz val="9"/>
        <rFont val="Times New Roman"/>
        <family val="1"/>
      </rPr>
      <t>по проекту</t>
    </r>
    <r>
      <rPr>
        <sz val="9"/>
        <rFont val="Times New Roman"/>
        <family val="1"/>
      </rPr>
      <t>: скамейки, урны, инф стенды)</t>
    </r>
  </si>
  <si>
    <r>
      <t xml:space="preserve"> ул. Ольховая д. 2 (</t>
    </r>
    <r>
      <rPr>
        <b/>
        <u val="single"/>
        <sz val="9"/>
        <rFont val="Times New Roman"/>
        <family val="1"/>
      </rPr>
      <t>по проекту</t>
    </r>
    <r>
      <rPr>
        <sz val="9"/>
        <rFont val="Times New Roman"/>
        <family val="1"/>
      </rPr>
      <t>: скамейки, урны, инф стенды)</t>
    </r>
  </si>
  <si>
    <r>
      <t xml:space="preserve"> ул.М. Новикова д. 13 корп. 1 </t>
    </r>
    <r>
      <rPr>
        <b/>
        <sz val="9"/>
        <rFont val="Times New Roman"/>
        <family val="1"/>
      </rPr>
      <t xml:space="preserve">(по проекту </t>
    </r>
    <r>
      <rPr>
        <sz val="9"/>
        <rFont val="Times New Roman"/>
        <family val="1"/>
      </rPr>
      <t>установка детского и спортивного оборудования</t>
    </r>
    <r>
      <rPr>
        <b/>
        <sz val="9"/>
        <rFont val="Times New Roman"/>
        <family val="1"/>
      </rPr>
      <t xml:space="preserve"> )  </t>
    </r>
  </si>
  <si>
    <t>пр. Авиаконструкторов д. 4 (асф проезд)</t>
  </si>
  <si>
    <t>пр. Авиаконструкторов д. 6 (асф проезд)</t>
  </si>
  <si>
    <t>пр. Авиаконструкторов д. 10 (асф проезд)</t>
  </si>
  <si>
    <t>пр. Авиаконструкторов д. 8 корп. 2 (асф проезд)</t>
  </si>
  <si>
    <t>ул. Ильюшина д. 15 корп. 1 (асф. Проезд)</t>
  </si>
  <si>
    <t>ул. Ильюшина д. 11 (асф. Проезд)</t>
  </si>
  <si>
    <t>пр. Королева д. 29 корп. 1 (асф. Проезд)</t>
  </si>
  <si>
    <t>пр. Королева д. 31 корп. 1 (проезд, трот, заниж б/к)</t>
  </si>
  <si>
    <t>ул. Камышовая д. 7</t>
  </si>
  <si>
    <t>пр. Испытателей д. 30 корп. 2</t>
  </si>
  <si>
    <t>пр. Испытателей д. 28 корп. 4</t>
  </si>
  <si>
    <t>Комендантский пр. д. 9</t>
  </si>
  <si>
    <t>пр. Испытателей д. 28 корп. 2</t>
  </si>
  <si>
    <t>Комендантский пр. д. 7</t>
  </si>
  <si>
    <t>пр. Испытателей д. 26</t>
  </si>
  <si>
    <t>пр. Испытателей д. 24</t>
  </si>
  <si>
    <t>пр. Сизова  д. 14</t>
  </si>
  <si>
    <t>пр. Испытателей д. 33</t>
  </si>
  <si>
    <t>ул. Уточкина д. 1 корп. 1</t>
  </si>
  <si>
    <t>ул. Маршала Новикова д. 4 корп. 2</t>
  </si>
  <si>
    <t>ул. Маршала Новикова д. 8 корп. 1</t>
  </si>
  <si>
    <t>пр. Королева д. 28</t>
  </si>
  <si>
    <t>ул. Уточкина д. 7</t>
  </si>
  <si>
    <t>ул. Ильюшина д. 6  (проезд+трот)</t>
  </si>
  <si>
    <t>ул. Стародеревенская д. 33/10 (проезд+трот)</t>
  </si>
  <si>
    <t>ул. Камышовая д. 3</t>
  </si>
  <si>
    <t>ул. Ильюшина д. 2</t>
  </si>
  <si>
    <t>ул. Гаккелевская д. 30</t>
  </si>
  <si>
    <t>Комендантский пр. д. 8 корп. 2</t>
  </si>
  <si>
    <t>ул. Гаккелевская д. 25 корп. 1</t>
  </si>
  <si>
    <t>Комендантский пр. д. 8 корп. 3</t>
  </si>
  <si>
    <t>Комендантский пр. д. 10</t>
  </si>
  <si>
    <t>пр. Авиаконструкторов, д. 13 (хок кор) скамейка</t>
  </si>
  <si>
    <t>ед.</t>
  </si>
  <si>
    <t>пр. Сизова, д.20, корп. 1</t>
  </si>
  <si>
    <t>пр. Испытателей, д. 31 корп. 1</t>
  </si>
  <si>
    <t>ул. Маршала Новикова, д. 3</t>
  </si>
  <si>
    <t>пр. Сизова, д. 20 корп. 2</t>
  </si>
  <si>
    <t>пр. Королева, д. 22</t>
  </si>
  <si>
    <t>ул. Маршала Новикова, д. 5</t>
  </si>
  <si>
    <t>пр. Королева, д. 24</t>
  </si>
  <si>
    <t>ул. Уточкина, д. 2 корп. 1</t>
  </si>
  <si>
    <t>Комендантский пр., д. 13</t>
  </si>
  <si>
    <t>Комендантский пр., д. 17 корп. 1</t>
  </si>
  <si>
    <t>Комендантский пр., д. 17 корп. 2</t>
  </si>
  <si>
    <t>Комендантский пр., д. 19 корп. 3</t>
  </si>
  <si>
    <t>ул. Уточкина, д. 2 корп. 2</t>
  </si>
  <si>
    <t>Комендантский пр., д. 21 корп. 2</t>
  </si>
  <si>
    <t>ул. Ольховая, д. 14</t>
  </si>
  <si>
    <t>ул. Ольховая, д. 10</t>
  </si>
  <si>
    <t>пр. Королева, д. 34</t>
  </si>
  <si>
    <t>ул. Ольховая, д. 20</t>
  </si>
  <si>
    <t>ул. Ольховая, д. 22</t>
  </si>
  <si>
    <t>ул. Долгоозерная, д. 13</t>
  </si>
  <si>
    <t>пр. Королева, д. 32 корп. 2</t>
  </si>
  <si>
    <t>пр. Королева, д. 27 корп. 2</t>
  </si>
  <si>
    <t>пр. Сизова, д. 32</t>
  </si>
  <si>
    <t>пр. Сизова, д. 20 корп. 1</t>
  </si>
  <si>
    <t>пр. Сизова, д. 34/18 (проезд+тротуар+ занижение б/к)</t>
  </si>
  <si>
    <t>ул. Ильюшина, д. 1 корп. 1</t>
  </si>
  <si>
    <t>Комендантский пр., д. 14</t>
  </si>
  <si>
    <t>Комендантский пр., д. 16 корп. 1</t>
  </si>
  <si>
    <t>Комендантский пр., д. 16 корп. 2 (проезд+тротуар+занижение б/к)</t>
  </si>
  <si>
    <t>пр. Авиаконструкторов, д. 1</t>
  </si>
  <si>
    <t>Комендантский пр., д. 18</t>
  </si>
  <si>
    <t>Комендантский пр., д. 20 корп. 2</t>
  </si>
  <si>
    <t>пр. Авиаконструкторов, д. 3 корп. 1</t>
  </si>
  <si>
    <t>пр. Авиаконструкторов, д. 3 корп. 2</t>
  </si>
  <si>
    <t>Комендантский пр., д. 22 корп. 1</t>
  </si>
  <si>
    <t>пр. Авиаконструкторов, д. 11</t>
  </si>
  <si>
    <t>пр. Авиаконструкторов, д. 13</t>
  </si>
  <si>
    <t>пр. Авиаконструкторов, д. 15</t>
  </si>
  <si>
    <t>Комендантский пр., д. 28 корп. 2</t>
  </si>
  <si>
    <t>Комендантский пр., д. 28 корп. 1</t>
  </si>
  <si>
    <t>Комендантский пр., д. 30 корп. 2</t>
  </si>
  <si>
    <t>Комендантский пр., д.24 корп. 3</t>
  </si>
  <si>
    <t>пр. Королева, д. 22 (набивная дорожка)</t>
  </si>
  <si>
    <t xml:space="preserve">Ведомственная целевая программа по организации благоустройства территории ВМО муниципальный округ Озеро Долгое  на 2023 год  в соответствии с законодательством в сфере благоустройства                                                                                           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</si>
  <si>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 планировочного устройства, за исключением велосипедных дорожек, размещение покрытий, предназначенных для кратковременного и длительного хранения индивидуального автотранспорта, на внутриквартальных территориях;</t>
  </si>
  <si>
    <t xml:space="preserve"> Восстановительная стоимость за ущерб, нанесенный  зеленому фонду Санкт-Петербурга</t>
  </si>
  <si>
    <t>тек ремонт асф покрытия (адреса МО )</t>
  </si>
  <si>
    <t>ремонт и устройство покрытий  (адреса МО )</t>
  </si>
  <si>
    <t>размещещение МАФ (по проектам: скамейки, урны, инф стенды)</t>
  </si>
  <si>
    <t>п/м</t>
  </si>
  <si>
    <t>размещение ограждений декоративных (по проектам)</t>
  </si>
  <si>
    <t>размещениее спортивных, детских площадок ( установка оборудования по проектам)</t>
  </si>
  <si>
    <t>шт          по порубочным билетам</t>
  </si>
  <si>
    <t>ЗНОП МЗ (25 скверов)</t>
  </si>
  <si>
    <r>
      <rPr>
        <b/>
        <sz val="9"/>
        <rFont val="Times New Roman"/>
        <family val="1"/>
      </rPr>
      <t xml:space="preserve">валка и санпрочиска </t>
    </r>
    <r>
      <rPr>
        <sz val="9"/>
        <rFont val="Times New Roman"/>
        <family val="1"/>
      </rPr>
      <t xml:space="preserve"> (</t>
    </r>
    <r>
      <rPr>
        <b/>
        <u val="single"/>
        <sz val="9"/>
        <rFont val="Times New Roman"/>
        <family val="1"/>
      </rPr>
      <t>по проектам )</t>
    </r>
  </si>
  <si>
    <t>содержание, ремонт детского и спортивного оборудования  на площадках тер-ии МО</t>
  </si>
  <si>
    <t>смена песка в песочницах на детских площадках( два раза в сезон)</t>
  </si>
  <si>
    <r>
      <t>демонтаж  оборудования (</t>
    </r>
    <r>
      <rPr>
        <u val="single"/>
        <sz val="9"/>
        <rFont val="Times New Roman"/>
        <family val="1"/>
      </rPr>
      <t>по проектам</t>
    </r>
    <r>
      <rPr>
        <sz val="9"/>
        <rFont val="Times New Roman"/>
        <family val="1"/>
      </rPr>
      <t xml:space="preserve">) </t>
    </r>
  </si>
  <si>
    <t xml:space="preserve">разработка проектной документации по благоустройству   </t>
  </si>
  <si>
    <r>
      <t>демонтаж  ограждений (</t>
    </r>
    <r>
      <rPr>
        <u val="single"/>
        <sz val="9"/>
        <rFont val="Times New Roman"/>
        <family val="1"/>
      </rPr>
      <t>по проектам</t>
    </r>
    <r>
      <rPr>
        <sz val="9"/>
        <rFont val="Times New Roman"/>
        <family val="1"/>
      </rPr>
      <t xml:space="preserve">) </t>
    </r>
  </si>
  <si>
    <r>
      <rPr>
        <b/>
        <sz val="9"/>
        <rFont val="Times New Roman"/>
        <family val="1"/>
      </rPr>
      <t xml:space="preserve">посадки </t>
    </r>
    <r>
      <rPr>
        <sz val="9"/>
        <rFont val="Times New Roman"/>
        <family val="1"/>
      </rPr>
      <t xml:space="preserve"> (по проектам) </t>
    </r>
  </si>
  <si>
    <r>
      <rPr>
        <b/>
        <sz val="9"/>
        <rFont val="Times New Roman"/>
        <family val="1"/>
      </rPr>
      <t xml:space="preserve">ремонт и устройство газонов </t>
    </r>
    <r>
      <rPr>
        <sz val="9"/>
        <rFont val="Times New Roman"/>
        <family val="1"/>
      </rPr>
      <t xml:space="preserve">  (по проектам ) </t>
    </r>
  </si>
  <si>
    <r>
      <rPr>
        <b/>
        <sz val="9"/>
        <rFont val="Times New Roman"/>
        <family val="1"/>
      </rPr>
      <t xml:space="preserve">уходы за посаженными насаждениями  </t>
    </r>
    <r>
      <rPr>
        <sz val="9"/>
        <rFont val="Times New Roman"/>
        <family val="1"/>
      </rPr>
      <t xml:space="preserve"> (по проектам) </t>
    </r>
  </si>
  <si>
    <t xml:space="preserve">                              УТВЕРЖДЕНО
Распоряжением МА МО МО Озеро Долгое
от 14.10.2022г.  №01-04/31   Приложение № 7   
</t>
  </si>
  <si>
    <t xml:space="preserve">                              УТВЕРЖДЕНО
Распоряжением МА МО МО Озеро Долгое
от 14.10.2022г.  № 01-04/31 Приложение к ВЦП № 7. Приложение № 1</t>
  </si>
  <si>
    <t>0503 60010 40131 853 297</t>
  </si>
  <si>
    <t>0503 60010 40131 244 225</t>
  </si>
  <si>
    <t>0503 60010 40131 244 226</t>
  </si>
  <si>
    <t>0503 60010 40131 244 310</t>
  </si>
  <si>
    <t>0503 60020 40151 244 226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</si>
</sst>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"/>
    <numFmt numFmtId="183" formatCode="0.0"/>
    <numFmt numFmtId="184" formatCode="0.00000"/>
    <numFmt numFmtId="185" formatCode="0.0000"/>
    <numFmt numFmtId="186" formatCode="_-* #,##0.0_р_._-;\-* #,##0.0_р_._-;_-* &quot;-&quot;??_р_._-;_-@_-"/>
    <numFmt numFmtId="187" formatCode="_-* #,##0_р_._-;\-* #,##0_р_._-;_-* &quot;-&quot;??_р_._-;_-@_-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#,##0.00&quot;р.&quot;"/>
    <numFmt numFmtId="195" formatCode="0.0000000"/>
    <numFmt numFmtId="196" formatCode="0.00000000"/>
    <numFmt numFmtId="197" formatCode="#,##0.000"/>
    <numFmt numFmtId="198" formatCode="#,##0.0000"/>
    <numFmt numFmtId="199" formatCode="#,##0.00000"/>
    <numFmt numFmtId="200" formatCode="#,##0.000000"/>
    <numFmt numFmtId="201" formatCode="#,##0.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0.0000000000000000"/>
    <numFmt numFmtId="210" formatCode="0.00000000000000000"/>
    <numFmt numFmtId="211" formatCode="0.000000000000000000"/>
    <numFmt numFmtId="212" formatCode="0.0000000000000000000"/>
    <numFmt numFmtId="213" formatCode="0.00000000000000000000"/>
    <numFmt numFmtId="214" formatCode="0.000000000000000000000"/>
    <numFmt numFmtId="215" formatCode="0.0000000000000000000000"/>
    <numFmt numFmtId="216" formatCode="0.00000000000000000000000"/>
    <numFmt numFmtId="217" formatCode="0.000000000000000000000000"/>
    <numFmt numFmtId="218" formatCode="0.0000000000000000000000000"/>
    <numFmt numFmtId="219" formatCode="0.00000000000000000000000000"/>
  </numFmts>
  <fonts count="10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9"/>
      <color indexed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9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u val="single"/>
      <sz val="10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b/>
      <sz val="10"/>
      <color indexed="17"/>
      <name val="Arial Cyr"/>
      <family val="0"/>
    </font>
    <font>
      <b/>
      <sz val="10"/>
      <color indexed="12"/>
      <name val="Arial Cyr"/>
      <family val="0"/>
    </font>
    <font>
      <b/>
      <sz val="9"/>
      <color indexed="17"/>
      <name val="Times New Roman"/>
      <family val="1"/>
    </font>
    <font>
      <b/>
      <sz val="9"/>
      <color indexed="14"/>
      <name val="Times New Roman"/>
      <family val="1"/>
    </font>
    <font>
      <b/>
      <sz val="10"/>
      <color indexed="14"/>
      <name val="Arial Cyr"/>
      <family val="0"/>
    </font>
    <font>
      <b/>
      <sz val="10"/>
      <color indexed="14"/>
      <name val="Times New Roman"/>
      <family val="1"/>
    </font>
    <font>
      <b/>
      <sz val="10"/>
      <color indexed="10"/>
      <name val="Arial Cyr"/>
      <family val="0"/>
    </font>
    <font>
      <b/>
      <sz val="10"/>
      <color indexed="17"/>
      <name val="Times New Roman"/>
      <family val="1"/>
    </font>
    <font>
      <b/>
      <sz val="9"/>
      <color indexed="17"/>
      <name val="Arial Cyr"/>
      <family val="0"/>
    </font>
    <font>
      <b/>
      <sz val="11"/>
      <color indexed="17"/>
      <name val="Times New Roman"/>
      <family val="1"/>
    </font>
    <font>
      <b/>
      <sz val="10"/>
      <color indexed="12"/>
      <name val="Times New Roman"/>
      <family val="1"/>
    </font>
    <font>
      <sz val="9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10"/>
      <name val="Arial Cyr"/>
      <family val="0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48"/>
      <name val="Times New Roman"/>
      <family val="1"/>
    </font>
    <font>
      <b/>
      <sz val="10"/>
      <color indexed="48"/>
      <name val="Times New Roman"/>
      <family val="1"/>
    </font>
    <font>
      <sz val="9"/>
      <color indexed="48"/>
      <name val="Times New Roman"/>
      <family val="1"/>
    </font>
    <font>
      <b/>
      <sz val="10"/>
      <color indexed="8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  <font>
      <b/>
      <sz val="9"/>
      <color rgb="FF0000FF"/>
      <name val="Times New Roman"/>
      <family val="1"/>
    </font>
    <font>
      <b/>
      <sz val="10"/>
      <color rgb="FF00B050"/>
      <name val="Arial Cyr"/>
      <family val="0"/>
    </font>
    <font>
      <b/>
      <sz val="10"/>
      <color rgb="FF009900"/>
      <name val="Arial Cyr"/>
      <family val="0"/>
    </font>
    <font>
      <b/>
      <sz val="10"/>
      <color rgb="FF0000FF"/>
      <name val="Arial Cyr"/>
      <family val="0"/>
    </font>
    <font>
      <b/>
      <sz val="9"/>
      <color rgb="FF009900"/>
      <name val="Times New Roman"/>
      <family val="1"/>
    </font>
    <font>
      <b/>
      <sz val="9"/>
      <color rgb="FFCC0066"/>
      <name val="Times New Roman"/>
      <family val="1"/>
    </font>
    <font>
      <b/>
      <sz val="10"/>
      <color rgb="FFCC0066"/>
      <name val="Arial Cyr"/>
      <family val="0"/>
    </font>
    <font>
      <b/>
      <sz val="10"/>
      <color rgb="FFCC0066"/>
      <name val="Times New Roman"/>
      <family val="1"/>
    </font>
    <font>
      <b/>
      <sz val="10"/>
      <color rgb="FFFF0000"/>
      <name val="Arial Cyr"/>
      <family val="0"/>
    </font>
    <font>
      <b/>
      <sz val="10"/>
      <color rgb="FF00B050"/>
      <name val="Times New Roman"/>
      <family val="1"/>
    </font>
    <font>
      <b/>
      <sz val="9"/>
      <color rgb="FF00B050"/>
      <name val="Arial Cyr"/>
      <family val="0"/>
    </font>
    <font>
      <b/>
      <sz val="11"/>
      <color rgb="FF00B050"/>
      <name val="Times New Roman"/>
      <family val="1"/>
    </font>
    <font>
      <b/>
      <sz val="10"/>
      <color rgb="FF0000FF"/>
      <name val="Times New Roman"/>
      <family val="1"/>
    </font>
    <font>
      <sz val="9"/>
      <color rgb="FF0000FF"/>
      <name val="Times New Roman"/>
      <family val="1"/>
    </font>
    <font>
      <b/>
      <sz val="9"/>
      <color rgb="FF00B050"/>
      <name val="Times New Roman"/>
      <family val="1"/>
    </font>
    <font>
      <b/>
      <sz val="11"/>
      <color rgb="FF0000FF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3333FF"/>
      <name val="Times New Roman"/>
      <family val="1"/>
    </font>
    <font>
      <b/>
      <sz val="10"/>
      <color rgb="FF3333FF"/>
      <name val="Times New Roman"/>
      <family val="1"/>
    </font>
    <font>
      <sz val="9"/>
      <color rgb="FF3333FF"/>
      <name val="Times New Roman"/>
      <family val="1"/>
    </font>
    <font>
      <b/>
      <sz val="10"/>
      <color theme="1"/>
      <name val="Times New Roman"/>
      <family val="1"/>
    </font>
    <font>
      <sz val="9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84" fontId="3" fillId="0" borderId="0" xfId="0" applyNumberFormat="1" applyFont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82" fontId="5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/>
    </xf>
    <xf numFmtId="184" fontId="80" fillId="0" borderId="0" xfId="0" applyNumberFormat="1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82" fontId="3" fillId="33" borderId="10" xfId="0" applyNumberFormat="1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84" fontId="80" fillId="0" borderId="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84" fontId="81" fillId="33" borderId="10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18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184" fontId="4" fillId="33" borderId="14" xfId="0" applyNumberFormat="1" applyFont="1" applyFill="1" applyBorder="1" applyAlignment="1">
      <alignment horizontal="center" vertical="center" wrapText="1"/>
    </xf>
    <xf numFmtId="184" fontId="79" fillId="0" borderId="0" xfId="0" applyNumberFormat="1" applyFont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82" fontId="81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84" fontId="79" fillId="0" borderId="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182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" vertical="center" wrapText="1"/>
    </xf>
    <xf numFmtId="49" fontId="85" fillId="0" borderId="12" xfId="0" applyNumberFormat="1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184" fontId="4" fillId="0" borderId="12" xfId="0" applyNumberFormat="1" applyFont="1" applyBorder="1" applyAlignment="1">
      <alignment horizontal="center" vertical="center" wrapText="1"/>
    </xf>
    <xf numFmtId="182" fontId="3" fillId="0" borderId="12" xfId="0" applyNumberFormat="1" applyFont="1" applyBorder="1" applyAlignment="1">
      <alignment horizontal="center" vertical="center" wrapText="1"/>
    </xf>
    <xf numFmtId="182" fontId="86" fillId="0" borderId="17" xfId="0" applyNumberFormat="1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88" fillId="34" borderId="0" xfId="0" applyFont="1" applyFill="1" applyBorder="1" applyAlignment="1">
      <alignment horizontal="center" vertical="center"/>
    </xf>
    <xf numFmtId="182" fontId="8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184" fontId="7" fillId="0" borderId="0" xfId="0" applyNumberFormat="1" applyFont="1" applyAlignment="1">
      <alignment horizontal="center"/>
    </xf>
    <xf numFmtId="182" fontId="1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184" fontId="4" fillId="0" borderId="0" xfId="0" applyNumberFormat="1" applyFont="1" applyAlignment="1">
      <alignment horizontal="center"/>
    </xf>
    <xf numFmtId="182" fontId="3" fillId="0" borderId="0" xfId="0" applyNumberFormat="1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184" fontId="88" fillId="0" borderId="17" xfId="0" applyNumberFormat="1" applyFont="1" applyBorder="1" applyAlignment="1" applyProtection="1">
      <alignment horizontal="center" vertical="center" wrapText="1"/>
      <protection locked="0"/>
    </xf>
    <xf numFmtId="184" fontId="4" fillId="35" borderId="10" xfId="0" applyNumberFormat="1" applyFont="1" applyFill="1" applyBorder="1" applyAlignment="1">
      <alignment horizontal="center" vertical="center"/>
    </xf>
    <xf numFmtId="182" fontId="3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184" fontId="4" fillId="11" borderId="10" xfId="0" applyNumberFormat="1" applyFont="1" applyFill="1" applyBorder="1" applyAlignment="1">
      <alignment horizontal="center" vertical="center" wrapText="1"/>
    </xf>
    <xf numFmtId="182" fontId="3" fillId="11" borderId="10" xfId="0" applyNumberFormat="1" applyFont="1" applyFill="1" applyBorder="1" applyAlignment="1">
      <alignment horizontal="center" vertical="center" wrapText="1"/>
    </xf>
    <xf numFmtId="184" fontId="4" fillId="13" borderId="10" xfId="0" applyNumberFormat="1" applyFont="1" applyFill="1" applyBorder="1" applyAlignment="1">
      <alignment horizontal="center" vertical="center"/>
    </xf>
    <xf numFmtId="182" fontId="3" fillId="1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1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2" fontId="3" fillId="33" borderId="11" xfId="0" applyNumberFormat="1" applyFont="1" applyFill="1" applyBorder="1" applyAlignment="1">
      <alignment horizontal="center" vertical="center" wrapText="1"/>
    </xf>
    <xf numFmtId="184" fontId="3" fillId="33" borderId="11" xfId="0" applyNumberFormat="1" applyFont="1" applyFill="1" applyBorder="1" applyAlignment="1">
      <alignment horizontal="center" vertical="center"/>
    </xf>
    <xf numFmtId="184" fontId="3" fillId="33" borderId="11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82" fontId="3" fillId="33" borderId="12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184" fontId="3" fillId="33" borderId="18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184" fontId="89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4" fontId="3" fillId="0" borderId="0" xfId="0" applyNumberFormat="1" applyFont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/>
    </xf>
    <xf numFmtId="184" fontId="3" fillId="0" borderId="12" xfId="0" applyNumberFormat="1" applyFont="1" applyBorder="1" applyAlignment="1">
      <alignment horizontal="center" vertical="center"/>
    </xf>
    <xf numFmtId="184" fontId="3" fillId="0" borderId="14" xfId="0" applyNumberFormat="1" applyFont="1" applyBorder="1" applyAlignment="1">
      <alignment horizontal="center" vertical="center"/>
    </xf>
    <xf numFmtId="184" fontId="3" fillId="0" borderId="12" xfId="0" applyNumberFormat="1" applyFont="1" applyFill="1" applyBorder="1" applyAlignment="1">
      <alignment horizontal="center" vertical="center"/>
    </xf>
    <xf numFmtId="184" fontId="3" fillId="0" borderId="19" xfId="0" applyNumberFormat="1" applyFont="1" applyBorder="1" applyAlignment="1">
      <alignment horizontal="center" vertical="center"/>
    </xf>
    <xf numFmtId="184" fontId="3" fillId="35" borderId="10" xfId="0" applyNumberFormat="1" applyFont="1" applyFill="1" applyBorder="1" applyAlignment="1">
      <alignment horizontal="center" vertical="center" wrapText="1"/>
    </xf>
    <xf numFmtId="184" fontId="3" fillId="35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184" fontId="3" fillId="11" borderId="10" xfId="0" applyNumberFormat="1" applyFont="1" applyFill="1" applyBorder="1" applyAlignment="1">
      <alignment horizontal="center" vertical="center" wrapText="1"/>
    </xf>
    <xf numFmtId="184" fontId="3" fillId="33" borderId="12" xfId="0" applyNumberFormat="1" applyFont="1" applyFill="1" applyBorder="1" applyAlignment="1">
      <alignment horizontal="center" vertical="center" wrapText="1"/>
    </xf>
    <xf numFmtId="184" fontId="3" fillId="33" borderId="12" xfId="0" applyNumberFormat="1" applyFont="1" applyFill="1" applyBorder="1" applyAlignment="1">
      <alignment horizontal="center" vertical="center"/>
    </xf>
    <xf numFmtId="184" fontId="3" fillId="13" borderId="10" xfId="0" applyNumberFormat="1" applyFont="1" applyFill="1" applyBorder="1" applyAlignment="1">
      <alignment horizontal="center" vertical="center" wrapText="1"/>
    </xf>
    <xf numFmtId="184" fontId="3" fillId="33" borderId="20" xfId="0" applyNumberFormat="1" applyFont="1" applyFill="1" applyBorder="1" applyAlignment="1">
      <alignment horizontal="center" vertical="center"/>
    </xf>
    <xf numFmtId="184" fontId="3" fillId="33" borderId="21" xfId="0" applyNumberFormat="1" applyFont="1" applyFill="1" applyBorder="1" applyAlignment="1">
      <alignment horizontal="center" vertical="center" wrapText="1"/>
    </xf>
    <xf numFmtId="184" fontId="3" fillId="33" borderId="22" xfId="0" applyNumberFormat="1" applyFont="1" applyFill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/>
    </xf>
    <xf numFmtId="184" fontId="3" fillId="0" borderId="14" xfId="0" applyNumberFormat="1" applyFont="1" applyBorder="1" applyAlignment="1">
      <alignment horizontal="center" vertical="center" wrapText="1"/>
    </xf>
    <xf numFmtId="184" fontId="3" fillId="0" borderId="23" xfId="0" applyNumberFormat="1" applyFont="1" applyBorder="1" applyAlignment="1">
      <alignment horizontal="center" vertical="center" wrapText="1"/>
    </xf>
    <xf numFmtId="184" fontId="3" fillId="0" borderId="14" xfId="0" applyNumberFormat="1" applyFont="1" applyFill="1" applyBorder="1" applyAlignment="1">
      <alignment horizontal="center" vertical="center"/>
    </xf>
    <xf numFmtId="184" fontId="3" fillId="0" borderId="24" xfId="0" applyNumberFormat="1" applyFont="1" applyBorder="1" applyAlignment="1">
      <alignment horizontal="center" vertical="center"/>
    </xf>
    <xf numFmtId="184" fontId="3" fillId="0" borderId="11" xfId="0" applyNumberFormat="1" applyFont="1" applyFill="1" applyBorder="1" applyAlignment="1">
      <alignment horizontal="center" vertical="center"/>
    </xf>
    <xf numFmtId="184" fontId="3" fillId="0" borderId="25" xfId="0" applyNumberFormat="1" applyFont="1" applyBorder="1" applyAlignment="1">
      <alignment horizontal="center" vertical="center"/>
    </xf>
    <xf numFmtId="184" fontId="3" fillId="33" borderId="10" xfId="0" applyNumberFormat="1" applyFont="1" applyFill="1" applyBorder="1" applyAlignment="1">
      <alignment vertical="center"/>
    </xf>
    <xf numFmtId="184" fontId="3" fillId="33" borderId="18" xfId="0" applyNumberFormat="1" applyFont="1" applyFill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 wrapText="1"/>
    </xf>
    <xf numFmtId="184" fontId="3" fillId="0" borderId="21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 wrapText="1"/>
    </xf>
    <xf numFmtId="184" fontId="3" fillId="0" borderId="18" xfId="0" applyNumberFormat="1" applyFont="1" applyBorder="1" applyAlignment="1">
      <alignment horizontal="center" vertical="center" wrapText="1"/>
    </xf>
    <xf numFmtId="184" fontId="3" fillId="0" borderId="12" xfId="0" applyNumberFormat="1" applyFont="1" applyBorder="1" applyAlignment="1">
      <alignment horizontal="center" vertical="center" wrapText="1"/>
    </xf>
    <xf numFmtId="184" fontId="3" fillId="0" borderId="22" xfId="0" applyNumberFormat="1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82" fillId="0" borderId="0" xfId="0" applyFont="1" applyBorder="1" applyAlignment="1">
      <alignment/>
    </xf>
    <xf numFmtId="0" fontId="84" fillId="0" borderId="0" xfId="0" applyFont="1" applyBorder="1" applyAlignment="1">
      <alignment/>
    </xf>
    <xf numFmtId="182" fontId="5" fillId="33" borderId="10" xfId="0" applyNumberFormat="1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184" fontId="3" fillId="10" borderId="11" xfId="0" applyNumberFormat="1" applyFont="1" applyFill="1" applyBorder="1" applyAlignment="1">
      <alignment horizontal="center" vertical="center" wrapText="1"/>
    </xf>
    <xf numFmtId="184" fontId="91" fillId="0" borderId="0" xfId="0" applyNumberFormat="1" applyFont="1" applyBorder="1" applyAlignment="1">
      <alignment horizontal="center" vertical="center"/>
    </xf>
    <xf numFmtId="184" fontId="86" fillId="0" borderId="17" xfId="0" applyNumberFormat="1" applyFont="1" applyBorder="1" applyAlignment="1">
      <alignment horizontal="center" vertical="center" wrapText="1"/>
    </xf>
    <xf numFmtId="184" fontId="86" fillId="0" borderId="17" xfId="0" applyNumberFormat="1" applyFont="1" applyFill="1" applyBorder="1" applyAlignment="1">
      <alignment horizontal="center" vertical="center" wrapText="1"/>
    </xf>
    <xf numFmtId="49" fontId="92" fillId="0" borderId="10" xfId="0" applyNumberFormat="1" applyFont="1" applyBorder="1" applyAlignment="1" applyProtection="1">
      <alignment horizontal="left" vertical="center" wrapText="1"/>
      <protection locked="0"/>
    </xf>
    <xf numFmtId="49" fontId="92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92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4" xfId="0" applyFont="1" applyFill="1" applyBorder="1" applyAlignment="1">
      <alignment vertical="top" wrapText="1"/>
    </xf>
    <xf numFmtId="184" fontId="4" fillId="33" borderId="10" xfId="0" applyNumberFormat="1" applyFont="1" applyFill="1" applyBorder="1" applyAlignment="1">
      <alignment horizontal="center" vertical="center"/>
    </xf>
    <xf numFmtId="184" fontId="3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/>
    </xf>
    <xf numFmtId="184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184" fontId="81" fillId="0" borderId="10" xfId="0" applyNumberFormat="1" applyFont="1" applyBorder="1" applyAlignment="1">
      <alignment horizontal="center" vertical="center" wrapText="1"/>
    </xf>
    <xf numFmtId="182" fontId="81" fillId="0" borderId="10" xfId="0" applyNumberFormat="1" applyFont="1" applyBorder="1" applyAlignment="1">
      <alignment horizontal="center" vertical="center" wrapText="1"/>
    </xf>
    <xf numFmtId="184" fontId="94" fillId="0" borderId="10" xfId="0" applyNumberFormat="1" applyFont="1" applyBorder="1" applyAlignment="1">
      <alignment horizontal="center" vertical="center" wrapText="1"/>
    </xf>
    <xf numFmtId="184" fontId="94" fillId="0" borderId="10" xfId="0" applyNumberFormat="1" applyFont="1" applyBorder="1" applyAlignment="1">
      <alignment horizontal="center" vertical="center"/>
    </xf>
    <xf numFmtId="184" fontId="94" fillId="0" borderId="10" xfId="0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/>
    </xf>
    <xf numFmtId="2" fontId="81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81" fillId="0" borderId="10" xfId="0" applyNumberFormat="1" applyFont="1" applyBorder="1" applyAlignment="1">
      <alignment vertical="center"/>
    </xf>
    <xf numFmtId="2" fontId="81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182" fontId="4" fillId="33" borderId="10" xfId="0" applyNumberFormat="1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49" fontId="7" fillId="33" borderId="27" xfId="0" applyNumberFormat="1" applyFont="1" applyFill="1" applyBorder="1" applyAlignment="1">
      <alignment vertical="top"/>
    </xf>
    <xf numFmtId="49" fontId="7" fillId="33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2" fontId="90" fillId="0" borderId="10" xfId="0" applyNumberFormat="1" applyFont="1" applyBorder="1" applyAlignment="1">
      <alignment horizontal="center" vertical="center" wrapText="1"/>
    </xf>
    <xf numFmtId="184" fontId="90" fillId="0" borderId="10" xfId="0" applyNumberFormat="1" applyFont="1" applyBorder="1" applyAlignment="1">
      <alignment horizontal="center" vertical="center" wrapText="1"/>
    </xf>
    <xf numFmtId="49" fontId="90" fillId="0" borderId="10" xfId="0" applyNumberFormat="1" applyFont="1" applyBorder="1" applyAlignment="1">
      <alignment horizontal="center" vertical="center" wrapText="1"/>
    </xf>
    <xf numFmtId="182" fontId="90" fillId="0" borderId="10" xfId="0" applyNumberFormat="1" applyFont="1" applyBorder="1" applyAlignment="1">
      <alignment horizontal="center" vertical="center" wrapText="1"/>
    </xf>
    <xf numFmtId="184" fontId="90" fillId="0" borderId="10" xfId="0" applyNumberFormat="1" applyFont="1" applyBorder="1" applyAlignment="1">
      <alignment horizontal="center" vertical="center"/>
    </xf>
    <xf numFmtId="184" fontId="90" fillId="0" borderId="10" xfId="0" applyNumberFormat="1" applyFont="1" applyFill="1" applyBorder="1" applyAlignment="1">
      <alignment horizontal="center" vertical="center"/>
    </xf>
    <xf numFmtId="184" fontId="82" fillId="0" borderId="0" xfId="0" applyNumberFormat="1" applyFont="1" applyAlignment="1">
      <alignment horizontal="center" vertical="center"/>
    </xf>
    <xf numFmtId="49" fontId="90" fillId="0" borderId="28" xfId="0" applyNumberFormat="1" applyFont="1" applyBorder="1" applyAlignment="1">
      <alignment horizontal="center" vertical="center" wrapText="1"/>
    </xf>
    <xf numFmtId="182" fontId="90" fillId="0" borderId="26" xfId="0" applyNumberFormat="1" applyFont="1" applyBorder="1" applyAlignment="1">
      <alignment horizontal="center" vertical="center" wrapText="1"/>
    </xf>
    <xf numFmtId="49" fontId="90" fillId="0" borderId="10" xfId="0" applyNumberFormat="1" applyFont="1" applyBorder="1" applyAlignment="1">
      <alignment vertical="center"/>
    </xf>
    <xf numFmtId="2" fontId="90" fillId="0" borderId="10" xfId="0" applyNumberFormat="1" applyFont="1" applyBorder="1" applyAlignment="1">
      <alignment horizontal="center" vertical="center"/>
    </xf>
    <xf numFmtId="0" fontId="95" fillId="33" borderId="29" xfId="0" applyFont="1" applyFill="1" applyBorder="1" applyAlignment="1">
      <alignment horizontal="center"/>
    </xf>
    <xf numFmtId="0" fontId="90" fillId="0" borderId="17" xfId="0" applyFont="1" applyBorder="1" applyAlignment="1">
      <alignment horizontal="center" vertical="center" wrapText="1"/>
    </xf>
    <xf numFmtId="0" fontId="90" fillId="0" borderId="17" xfId="0" applyFont="1" applyBorder="1" applyAlignment="1">
      <alignment horizontal="center" vertical="center"/>
    </xf>
    <xf numFmtId="2" fontId="90" fillId="0" borderId="17" xfId="0" applyNumberFormat="1" applyFont="1" applyBorder="1" applyAlignment="1">
      <alignment horizontal="center" vertical="center" wrapText="1"/>
    </xf>
    <xf numFmtId="184" fontId="90" fillId="0" borderId="17" xfId="0" applyNumberFormat="1" applyFont="1" applyBorder="1" applyAlignment="1">
      <alignment horizontal="center" vertical="center" wrapText="1"/>
    </xf>
    <xf numFmtId="182" fontId="90" fillId="0" borderId="17" xfId="0" applyNumberFormat="1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 wrapText="1"/>
    </xf>
    <xf numFmtId="0" fontId="90" fillId="0" borderId="26" xfId="0" applyFont="1" applyBorder="1" applyAlignment="1">
      <alignment horizontal="center" vertical="center"/>
    </xf>
    <xf numFmtId="2" fontId="90" fillId="0" borderId="26" xfId="0" applyNumberFormat="1" applyFont="1" applyBorder="1" applyAlignment="1">
      <alignment horizontal="center" vertical="center" wrapText="1"/>
    </xf>
    <xf numFmtId="184" fontId="90" fillId="0" borderId="26" xfId="0" applyNumberFormat="1" applyFont="1" applyBorder="1" applyAlignment="1">
      <alignment horizontal="center" vertical="center" wrapText="1"/>
    </xf>
    <xf numFmtId="184" fontId="90" fillId="0" borderId="30" xfId="0" applyNumberFormat="1" applyFont="1" applyBorder="1" applyAlignment="1">
      <alignment horizontal="center" vertical="center" wrapText="1"/>
    </xf>
    <xf numFmtId="184" fontId="90" fillId="0" borderId="17" xfId="0" applyNumberFormat="1" applyFont="1" applyBorder="1" applyAlignment="1">
      <alignment horizontal="center" vertical="center"/>
    </xf>
    <xf numFmtId="184" fontId="90" fillId="0" borderId="17" xfId="0" applyNumberFormat="1" applyFont="1" applyFill="1" applyBorder="1" applyAlignment="1">
      <alignment horizontal="center" vertical="center"/>
    </xf>
    <xf numFmtId="184" fontId="90" fillId="0" borderId="31" xfId="0" applyNumberFormat="1" applyFont="1" applyBorder="1" applyAlignment="1">
      <alignment horizontal="center" vertical="center"/>
    </xf>
    <xf numFmtId="184" fontId="90" fillId="0" borderId="32" xfId="0" applyNumberFormat="1" applyFont="1" applyBorder="1" applyAlignment="1">
      <alignment horizontal="center" vertical="center" wrapText="1"/>
    </xf>
    <xf numFmtId="184" fontId="90" fillId="0" borderId="26" xfId="0" applyNumberFormat="1" applyFont="1" applyBorder="1" applyAlignment="1">
      <alignment horizontal="center" vertical="center"/>
    </xf>
    <xf numFmtId="184" fontId="90" fillId="0" borderId="26" xfId="0" applyNumberFormat="1" applyFont="1" applyFill="1" applyBorder="1" applyAlignment="1">
      <alignment horizontal="center" vertical="center"/>
    </xf>
    <xf numFmtId="184" fontId="90" fillId="0" borderId="33" xfId="0" applyNumberFormat="1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left" vertical="center" wrapText="1"/>
    </xf>
    <xf numFmtId="0" fontId="3" fillId="10" borderId="11" xfId="0" applyFont="1" applyFill="1" applyBorder="1" applyAlignment="1">
      <alignment horizontal="center" vertical="center" wrapText="1"/>
    </xf>
    <xf numFmtId="2" fontId="3" fillId="10" borderId="11" xfId="0" applyNumberFormat="1" applyFont="1" applyFill="1" applyBorder="1" applyAlignment="1">
      <alignment horizontal="center" vertical="center"/>
    </xf>
    <xf numFmtId="184" fontId="4" fillId="10" borderId="11" xfId="0" applyNumberFormat="1" applyFont="1" applyFill="1" applyBorder="1" applyAlignment="1">
      <alignment horizontal="center" vertical="center"/>
    </xf>
    <xf numFmtId="182" fontId="3" fillId="10" borderId="11" xfId="0" applyNumberFormat="1" applyFont="1" applyFill="1" applyBorder="1" applyAlignment="1">
      <alignment horizontal="center" vertical="center" wrapText="1"/>
    </xf>
    <xf numFmtId="184" fontId="3" fillId="10" borderId="11" xfId="0" applyNumberFormat="1" applyFont="1" applyFill="1" applyBorder="1" applyAlignment="1">
      <alignment horizontal="center" vertical="center"/>
    </xf>
    <xf numFmtId="16" fontId="12" fillId="33" borderId="34" xfId="0" applyNumberFormat="1" applyFont="1" applyFill="1" applyBorder="1" applyAlignment="1">
      <alignment wrapText="1"/>
    </xf>
    <xf numFmtId="16" fontId="12" fillId="33" borderId="28" xfId="0" applyNumberFormat="1" applyFont="1" applyFill="1" applyBorder="1" applyAlignment="1">
      <alignment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vertical="top"/>
    </xf>
    <xf numFmtId="0" fontId="10" fillId="33" borderId="29" xfId="0" applyFont="1" applyFill="1" applyBorder="1" applyAlignment="1">
      <alignment horizontal="center" vertical="top"/>
    </xf>
    <xf numFmtId="3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184" fontId="4" fillId="3" borderId="10" xfId="0" applyNumberFormat="1" applyFont="1" applyFill="1" applyBorder="1" applyAlignment="1">
      <alignment horizontal="center" vertical="center"/>
    </xf>
    <xf numFmtId="182" fontId="3" fillId="3" borderId="10" xfId="0" applyNumberFormat="1" applyFont="1" applyFill="1" applyBorder="1" applyAlignment="1">
      <alignment horizontal="center" vertical="center" wrapText="1"/>
    </xf>
    <xf numFmtId="184" fontId="3" fillId="3" borderId="10" xfId="0" applyNumberFormat="1" applyFont="1" applyFill="1" applyBorder="1" applyAlignment="1">
      <alignment horizontal="center" vertical="center" wrapText="1"/>
    </xf>
    <xf numFmtId="184" fontId="3" fillId="3" borderId="10" xfId="0" applyNumberFormat="1" applyFont="1" applyFill="1" applyBorder="1" applyAlignment="1">
      <alignment horizontal="center" vertical="center"/>
    </xf>
    <xf numFmtId="2" fontId="6" fillId="1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96" fillId="33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199" fontId="79" fillId="0" borderId="0" xfId="0" applyNumberFormat="1" applyFont="1" applyBorder="1" applyAlignment="1">
      <alignment/>
    </xf>
    <xf numFmtId="199" fontId="80" fillId="0" borderId="0" xfId="0" applyNumberFormat="1" applyFont="1" applyBorder="1" applyAlignment="1">
      <alignment horizontal="center"/>
    </xf>
    <xf numFmtId="199" fontId="80" fillId="0" borderId="0" xfId="0" applyNumberFormat="1" applyFont="1" applyBorder="1" applyAlignment="1">
      <alignment/>
    </xf>
    <xf numFmtId="199" fontId="80" fillId="0" borderId="0" xfId="0" applyNumberFormat="1" applyFont="1" applyBorder="1" applyAlignment="1">
      <alignment horizontal="left" vertical="top"/>
    </xf>
    <xf numFmtId="199" fontId="91" fillId="0" borderId="0" xfId="0" applyNumberFormat="1" applyFont="1" applyBorder="1" applyAlignment="1">
      <alignment/>
    </xf>
    <xf numFmtId="199" fontId="3" fillId="33" borderId="0" xfId="0" applyNumberFormat="1" applyFont="1" applyFill="1" applyBorder="1" applyAlignment="1">
      <alignment horizontal="center" vertical="center"/>
    </xf>
    <xf numFmtId="199" fontId="97" fillId="0" borderId="0" xfId="0" applyNumberFormat="1" applyFont="1" applyBorder="1" applyAlignment="1">
      <alignment/>
    </xf>
    <xf numFmtId="199" fontId="80" fillId="0" borderId="0" xfId="0" applyNumberFormat="1" applyFont="1" applyAlignment="1">
      <alignment/>
    </xf>
    <xf numFmtId="199" fontId="82" fillId="0" borderId="0" xfId="0" applyNumberFormat="1" applyFont="1" applyAlignment="1">
      <alignment/>
    </xf>
    <xf numFmtId="199" fontId="80" fillId="0" borderId="0" xfId="0" applyNumberFormat="1" applyFont="1" applyAlignment="1">
      <alignment horizontal="center"/>
    </xf>
    <xf numFmtId="199" fontId="79" fillId="0" borderId="0" xfId="0" applyNumberFormat="1" applyFont="1" applyAlignment="1">
      <alignment/>
    </xf>
    <xf numFmtId="199" fontId="80" fillId="0" borderId="0" xfId="0" applyNumberFormat="1" applyFont="1" applyAlignment="1">
      <alignment horizontal="center" vertical="center"/>
    </xf>
    <xf numFmtId="199" fontId="0" fillId="0" borderId="0" xfId="0" applyNumberFormat="1" applyFont="1" applyBorder="1" applyAlignment="1">
      <alignment/>
    </xf>
    <xf numFmtId="184" fontId="98" fillId="0" borderId="0" xfId="0" applyNumberFormat="1" applyFont="1" applyBorder="1" applyAlignment="1">
      <alignment horizontal="right" vertical="center" wrapText="1"/>
    </xf>
    <xf numFmtId="184" fontId="98" fillId="0" borderId="0" xfId="0" applyNumberFormat="1" applyFont="1" applyAlignment="1">
      <alignment horizontal="center" vertical="center"/>
    </xf>
    <xf numFmtId="184" fontId="99" fillId="0" borderId="0" xfId="0" applyNumberFormat="1" applyFont="1" applyBorder="1" applyAlignment="1">
      <alignment horizontal="center" vertical="center" wrapText="1"/>
    </xf>
    <xf numFmtId="184" fontId="98" fillId="0" borderId="0" xfId="0" applyNumberFormat="1" applyFont="1" applyBorder="1" applyAlignment="1">
      <alignment horizontal="center" vertical="center"/>
    </xf>
    <xf numFmtId="184" fontId="100" fillId="0" borderId="0" xfId="0" applyNumberFormat="1" applyFont="1" applyBorder="1" applyAlignment="1">
      <alignment horizontal="center" vertical="center" wrapText="1"/>
    </xf>
    <xf numFmtId="184" fontId="98" fillId="0" borderId="0" xfId="0" applyNumberFormat="1" applyFont="1" applyBorder="1" applyAlignment="1">
      <alignment horizontal="center" vertical="center" wrapText="1"/>
    </xf>
    <xf numFmtId="184" fontId="98" fillId="33" borderId="0" xfId="0" applyNumberFormat="1" applyFont="1" applyFill="1" applyBorder="1" applyAlignment="1">
      <alignment horizontal="center" vertical="center" wrapText="1"/>
    </xf>
    <xf numFmtId="184" fontId="101" fillId="0" borderId="0" xfId="0" applyNumberFormat="1" applyFont="1" applyAlignment="1">
      <alignment/>
    </xf>
    <xf numFmtId="184" fontId="102" fillId="33" borderId="0" xfId="0" applyNumberFormat="1" applyFont="1" applyFill="1" applyBorder="1" applyAlignment="1">
      <alignment horizontal="center" vertical="center"/>
    </xf>
    <xf numFmtId="184" fontId="102" fillId="0" borderId="0" xfId="0" applyNumberFormat="1" applyFont="1" applyBorder="1" applyAlignment="1">
      <alignment horizontal="center" vertical="center" wrapText="1"/>
    </xf>
    <xf numFmtId="199" fontId="101" fillId="0" borderId="0" xfId="0" applyNumberFormat="1" applyFont="1" applyAlignment="1">
      <alignment horizontal="center" vertical="center"/>
    </xf>
    <xf numFmtId="184" fontId="98" fillId="33" borderId="0" xfId="0" applyNumberFormat="1" applyFont="1" applyFill="1" applyBorder="1" applyAlignment="1">
      <alignment horizontal="center" vertical="center"/>
    </xf>
    <xf numFmtId="184" fontId="102" fillId="0" borderId="0" xfId="0" applyNumberFormat="1" applyFont="1" applyBorder="1" applyAlignment="1">
      <alignment horizontal="center" vertical="center"/>
    </xf>
    <xf numFmtId="184" fontId="101" fillId="33" borderId="0" xfId="0" applyNumberFormat="1" applyFont="1" applyFill="1" applyBorder="1" applyAlignment="1">
      <alignment horizontal="center" vertical="center"/>
    </xf>
    <xf numFmtId="184" fontId="101" fillId="0" borderId="0" xfId="0" applyNumberFormat="1" applyFont="1" applyAlignment="1">
      <alignment horizontal="center" vertical="center"/>
    </xf>
    <xf numFmtId="184" fontId="99" fillId="0" borderId="0" xfId="0" applyNumberFormat="1" applyFont="1" applyBorder="1" applyAlignment="1">
      <alignment horizontal="center" vertical="center"/>
    </xf>
    <xf numFmtId="184" fontId="4" fillId="33" borderId="11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/>
    </xf>
    <xf numFmtId="184" fontId="3" fillId="33" borderId="0" xfId="0" applyNumberFormat="1" applyFont="1" applyFill="1" applyBorder="1" applyAlignment="1">
      <alignment horizontal="center" vertical="center" wrapText="1"/>
    </xf>
    <xf numFmtId="49" fontId="103" fillId="0" borderId="13" xfId="0" applyNumberFormat="1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05" fillId="33" borderId="10" xfId="0" applyFont="1" applyFill="1" applyBorder="1" applyAlignment="1">
      <alignment horizontal="center" vertical="center" wrapText="1"/>
    </xf>
    <xf numFmtId="0" fontId="105" fillId="33" borderId="10" xfId="0" applyFont="1" applyFill="1" applyBorder="1" applyAlignment="1">
      <alignment horizontal="center" vertical="center"/>
    </xf>
    <xf numFmtId="2" fontId="105" fillId="33" borderId="10" xfId="0" applyNumberFormat="1" applyFont="1" applyFill="1" applyBorder="1" applyAlignment="1">
      <alignment horizontal="center" vertical="center" wrapText="1"/>
    </xf>
    <xf numFmtId="184" fontId="103" fillId="33" borderId="10" xfId="0" applyNumberFormat="1" applyFont="1" applyFill="1" applyBorder="1" applyAlignment="1">
      <alignment horizontal="center" vertical="center" wrapText="1"/>
    </xf>
    <xf numFmtId="182" fontId="105" fillId="33" borderId="10" xfId="0" applyNumberFormat="1" applyFont="1" applyFill="1" applyBorder="1" applyAlignment="1">
      <alignment horizontal="center" vertical="center" wrapText="1"/>
    </xf>
    <xf numFmtId="184" fontId="105" fillId="33" borderId="10" xfId="0" applyNumberFormat="1" applyFont="1" applyFill="1" applyBorder="1" applyAlignment="1">
      <alignment horizontal="center" vertical="center" wrapText="1"/>
    </xf>
    <xf numFmtId="184" fontId="105" fillId="33" borderId="10" xfId="0" applyNumberFormat="1" applyFont="1" applyFill="1" applyBorder="1" applyAlignment="1">
      <alignment horizontal="center" vertical="center"/>
    </xf>
    <xf numFmtId="184" fontId="92" fillId="0" borderId="10" xfId="0" applyNumberFormat="1" applyFont="1" applyBorder="1" applyAlignment="1">
      <alignment horizontal="center" vertical="center" wrapText="1"/>
    </xf>
    <xf numFmtId="182" fontId="92" fillId="0" borderId="10" xfId="0" applyNumberFormat="1" applyFont="1" applyBorder="1" applyAlignment="1">
      <alignment horizontal="center" vertical="center" wrapText="1"/>
    </xf>
    <xf numFmtId="184" fontId="92" fillId="0" borderId="10" xfId="0" applyNumberFormat="1" applyFont="1" applyBorder="1" applyAlignment="1">
      <alignment horizontal="center" vertical="center"/>
    </xf>
    <xf numFmtId="184" fontId="92" fillId="0" borderId="10" xfId="0" applyNumberFormat="1" applyFont="1" applyFill="1" applyBorder="1" applyAlignment="1">
      <alignment horizontal="center" vertical="center"/>
    </xf>
    <xf numFmtId="184" fontId="102" fillId="0" borderId="0" xfId="0" applyNumberFormat="1" applyFont="1" applyFill="1" applyBorder="1" applyAlignment="1">
      <alignment horizontal="center" vertical="center" wrapText="1"/>
    </xf>
    <xf numFmtId="184" fontId="102" fillId="0" borderId="0" xfId="0" applyNumberFormat="1" applyFont="1" applyAlignment="1">
      <alignment horizontal="center"/>
    </xf>
    <xf numFmtId="182" fontId="98" fillId="0" borderId="0" xfId="0" applyNumberFormat="1" applyFont="1" applyAlignment="1">
      <alignment horizontal="center"/>
    </xf>
    <xf numFmtId="184" fontId="98" fillId="0" borderId="0" xfId="0" applyNumberFormat="1" applyFont="1" applyFill="1" applyAlignment="1">
      <alignment horizontal="center" vertical="center"/>
    </xf>
    <xf numFmtId="0" fontId="89" fillId="0" borderId="0" xfId="0" applyFont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top"/>
    </xf>
    <xf numFmtId="0" fontId="7" fillId="16" borderId="1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2" fontId="3" fillId="16" borderId="10" xfId="0" applyNumberFormat="1" applyFont="1" applyFill="1" applyBorder="1" applyAlignment="1">
      <alignment horizontal="center" vertical="center"/>
    </xf>
    <xf numFmtId="184" fontId="4" fillId="16" borderId="10" xfId="0" applyNumberFormat="1" applyFont="1" applyFill="1" applyBorder="1" applyAlignment="1">
      <alignment horizontal="center" vertical="center"/>
    </xf>
    <xf numFmtId="182" fontId="3" fillId="16" borderId="10" xfId="0" applyNumberFormat="1" applyFont="1" applyFill="1" applyBorder="1" applyAlignment="1">
      <alignment horizontal="center" vertical="center" wrapText="1"/>
    </xf>
    <xf numFmtId="184" fontId="3" fillId="16" borderId="10" xfId="0" applyNumberFormat="1" applyFont="1" applyFill="1" applyBorder="1" applyAlignment="1">
      <alignment horizontal="center" vertical="center" wrapText="1"/>
    </xf>
    <xf numFmtId="184" fontId="3" fillId="16" borderId="10" xfId="0" applyNumberFormat="1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left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/>
    </xf>
    <xf numFmtId="184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2" fontId="3" fillId="16" borderId="10" xfId="0" applyNumberFormat="1" applyFont="1" applyFill="1" applyBorder="1" applyAlignment="1">
      <alignment horizontal="center" vertical="center"/>
    </xf>
    <xf numFmtId="184" fontId="4" fillId="16" borderId="10" xfId="0" applyNumberFormat="1" applyFont="1" applyFill="1" applyBorder="1" applyAlignment="1">
      <alignment horizontal="center" vertical="center" wrapText="1"/>
    </xf>
    <xf numFmtId="182" fontId="3" fillId="16" borderId="10" xfId="0" applyNumberFormat="1" applyFont="1" applyFill="1" applyBorder="1" applyAlignment="1">
      <alignment horizontal="center" vertical="center" wrapText="1"/>
    </xf>
    <xf numFmtId="182" fontId="3" fillId="33" borderId="13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99" fontId="6" fillId="0" borderId="0" xfId="0" applyNumberFormat="1" applyFont="1" applyAlignment="1">
      <alignment horizontal="center" vertical="center"/>
    </xf>
    <xf numFmtId="0" fontId="4" fillId="33" borderId="14" xfId="0" applyFont="1" applyFill="1" applyBorder="1" applyAlignment="1">
      <alignment horizontal="center" vertical="top" wrapText="1"/>
    </xf>
    <xf numFmtId="0" fontId="10" fillId="33" borderId="14" xfId="0" applyNumberFormat="1" applyFont="1" applyFill="1" applyBorder="1" applyAlignment="1">
      <alignment horizontal="center" vertical="top" wrapText="1"/>
    </xf>
    <xf numFmtId="184" fontId="3" fillId="33" borderId="0" xfId="0" applyNumberFormat="1" applyFont="1" applyFill="1" applyBorder="1" applyAlignment="1">
      <alignment horizontal="center" vertical="center" wrapText="1"/>
    </xf>
    <xf numFmtId="184" fontId="82" fillId="0" borderId="0" xfId="0" applyNumberFormat="1" applyFont="1" applyBorder="1" applyAlignment="1">
      <alignment/>
    </xf>
    <xf numFmtId="1" fontId="3" fillId="33" borderId="23" xfId="0" applyNumberFormat="1" applyFont="1" applyFill="1" applyBorder="1" applyAlignment="1">
      <alignment horizontal="center" vertical="center"/>
    </xf>
    <xf numFmtId="184" fontId="0" fillId="0" borderId="0" xfId="0" applyNumberFormat="1" applyFont="1" applyBorder="1" applyAlignment="1">
      <alignment/>
    </xf>
    <xf numFmtId="208" fontId="0" fillId="0" borderId="0" xfId="0" applyNumberFormat="1" applyFont="1" applyBorder="1" applyAlignment="1">
      <alignment/>
    </xf>
    <xf numFmtId="184" fontId="15" fillId="0" borderId="0" xfId="0" applyNumberFormat="1" applyFont="1" applyBorder="1" applyAlignment="1">
      <alignment horizontal="center" vertical="center"/>
    </xf>
    <xf numFmtId="199" fontId="15" fillId="0" borderId="0" xfId="0" applyNumberFormat="1" applyFont="1" applyBorder="1" applyAlignment="1">
      <alignment horizontal="center" vertical="center"/>
    </xf>
    <xf numFmtId="184" fontId="84" fillId="0" borderId="0" xfId="0" applyNumberFormat="1" applyFont="1" applyBorder="1" applyAlignment="1">
      <alignment/>
    </xf>
    <xf numFmtId="184" fontId="88" fillId="0" borderId="0" xfId="0" applyNumberFormat="1" applyFont="1" applyBorder="1" applyAlignment="1" applyProtection="1">
      <alignment horizontal="center" vertical="center" wrapText="1"/>
      <protection locked="0"/>
    </xf>
    <xf numFmtId="184" fontId="86" fillId="0" borderId="0" xfId="0" applyNumberFormat="1" applyFont="1" applyBorder="1" applyAlignment="1">
      <alignment horizontal="center" vertical="center" wrapText="1"/>
    </xf>
    <xf numFmtId="184" fontId="86" fillId="0" borderId="0" xfId="0" applyNumberFormat="1" applyFont="1" applyFill="1" applyBorder="1" applyAlignment="1">
      <alignment horizontal="center" vertical="center" wrapText="1"/>
    </xf>
    <xf numFmtId="184" fontId="91" fillId="33" borderId="0" xfId="0" applyNumberFormat="1" applyFont="1" applyFill="1" applyBorder="1" applyAlignment="1">
      <alignment horizontal="center" vertical="center"/>
    </xf>
    <xf numFmtId="184" fontId="82" fillId="33" borderId="0" xfId="0" applyNumberFormat="1" applyFont="1" applyFill="1" applyBorder="1" applyAlignment="1">
      <alignment horizontal="center" vertical="center"/>
    </xf>
    <xf numFmtId="184" fontId="95" fillId="33" borderId="0" xfId="0" applyNumberFormat="1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188" fontId="91" fillId="0" borderId="0" xfId="0" applyNumberFormat="1" applyFont="1" applyBorder="1" applyAlignment="1">
      <alignment horizontal="center" vertical="center"/>
    </xf>
    <xf numFmtId="184" fontId="82" fillId="0" borderId="0" xfId="0" applyNumberFormat="1" applyFont="1" applyBorder="1" applyAlignment="1">
      <alignment horizontal="center" vertical="center"/>
    </xf>
    <xf numFmtId="184" fontId="91" fillId="0" borderId="0" xfId="0" applyNumberFormat="1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2" fontId="95" fillId="0" borderId="0" xfId="0" applyNumberFormat="1" applyFont="1" applyBorder="1" applyAlignment="1">
      <alignment horizontal="center" vertical="center" wrapText="1"/>
    </xf>
    <xf numFmtId="0" fontId="95" fillId="33" borderId="0" xfId="0" applyFont="1" applyFill="1" applyBorder="1" applyAlignment="1">
      <alignment horizontal="left" vertical="center" wrapText="1"/>
    </xf>
    <xf numFmtId="184" fontId="95" fillId="33" borderId="0" xfId="0" applyNumberFormat="1" applyFont="1" applyFill="1" applyBorder="1" applyAlignment="1">
      <alignment vertical="center" wrapText="1"/>
    </xf>
    <xf numFmtId="199" fontId="3" fillId="0" borderId="10" xfId="0" applyNumberFormat="1" applyFont="1" applyBorder="1" applyAlignment="1">
      <alignment horizontal="center" vertical="center"/>
    </xf>
    <xf numFmtId="184" fontId="98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vertical="center"/>
    </xf>
    <xf numFmtId="184" fontId="3" fillId="0" borderId="18" xfId="0" applyNumberFormat="1" applyFont="1" applyFill="1" applyBorder="1" applyAlignment="1">
      <alignment horizontal="center" vertical="center"/>
    </xf>
    <xf numFmtId="184" fontId="16" fillId="33" borderId="0" xfId="0" applyNumberFormat="1" applyFont="1" applyFill="1" applyAlignment="1">
      <alignment horizontal="center" vertical="center"/>
    </xf>
    <xf numFmtId="0" fontId="6" fillId="11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10" fillId="33" borderId="14" xfId="0" applyNumberFormat="1" applyFont="1" applyFill="1" applyBorder="1" applyAlignment="1">
      <alignment horizontal="center" vertical="top" wrapText="1"/>
    </xf>
    <xf numFmtId="0" fontId="4" fillId="9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center" vertical="center" wrapText="1"/>
    </xf>
    <xf numFmtId="2" fontId="3" fillId="9" borderId="10" xfId="0" applyNumberFormat="1" applyFont="1" applyFill="1" applyBorder="1" applyAlignment="1">
      <alignment horizontal="center" vertical="center" wrapText="1"/>
    </xf>
    <xf numFmtId="184" fontId="4" fillId="9" borderId="10" xfId="0" applyNumberFormat="1" applyFont="1" applyFill="1" applyBorder="1" applyAlignment="1">
      <alignment horizontal="center" vertical="center"/>
    </xf>
    <xf numFmtId="182" fontId="3" fillId="9" borderId="10" xfId="0" applyNumberFormat="1" applyFont="1" applyFill="1" applyBorder="1" applyAlignment="1">
      <alignment horizontal="center" vertical="center" wrapText="1"/>
    </xf>
    <xf numFmtId="184" fontId="3" fillId="9" borderId="10" xfId="0" applyNumberFormat="1" applyFont="1" applyFill="1" applyBorder="1" applyAlignment="1">
      <alignment horizontal="center" vertical="center" wrapText="1"/>
    </xf>
    <xf numFmtId="2" fontId="6" fillId="11" borderId="10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184" fontId="4" fillId="36" borderId="10" xfId="0" applyNumberFormat="1" applyFont="1" applyFill="1" applyBorder="1" applyAlignment="1">
      <alignment horizontal="center" vertical="center"/>
    </xf>
    <xf numFmtId="182" fontId="3" fillId="36" borderId="10" xfId="0" applyNumberFormat="1" applyFont="1" applyFill="1" applyBorder="1" applyAlignment="1">
      <alignment horizontal="center" vertical="center" wrapText="1"/>
    </xf>
    <xf numFmtId="184" fontId="3" fillId="36" borderId="10" xfId="0" applyNumberFormat="1" applyFont="1" applyFill="1" applyBorder="1" applyAlignment="1">
      <alignment horizontal="center" vertical="center" wrapText="1"/>
    </xf>
    <xf numFmtId="184" fontId="3" fillId="36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13" borderId="10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3" fillId="16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3" fillId="0" borderId="10" xfId="0" applyFont="1" applyBorder="1" applyAlignment="1">
      <alignment horizontal="left" vertical="center" wrapText="1"/>
    </xf>
    <xf numFmtId="0" fontId="88" fillId="34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84" fontId="11" fillId="0" borderId="0" xfId="0" applyNumberFormat="1" applyFont="1" applyAlignment="1">
      <alignment horizontal="left" vertical="center"/>
    </xf>
    <xf numFmtId="184" fontId="3" fillId="0" borderId="0" xfId="0" applyNumberFormat="1" applyFont="1" applyAlignment="1">
      <alignment horizontal="left" vertical="center"/>
    </xf>
    <xf numFmtId="184" fontId="79" fillId="0" borderId="0" xfId="0" applyNumberFormat="1" applyFont="1" applyAlignment="1">
      <alignment horizontal="left" vertical="center"/>
    </xf>
    <xf numFmtId="184" fontId="10" fillId="0" borderId="0" xfId="0" applyNumberFormat="1" applyFont="1" applyAlignment="1">
      <alignment horizontal="left" vertical="center"/>
    </xf>
    <xf numFmtId="184" fontId="106" fillId="0" borderId="0" xfId="0" applyNumberFormat="1" applyFont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 wrapText="1"/>
    </xf>
    <xf numFmtId="2" fontId="3" fillId="8" borderId="10" xfId="0" applyNumberFormat="1" applyFont="1" applyFill="1" applyBorder="1" applyAlignment="1">
      <alignment horizontal="center" vertical="center" wrapText="1"/>
    </xf>
    <xf numFmtId="184" fontId="4" fillId="8" borderId="10" xfId="0" applyNumberFormat="1" applyFont="1" applyFill="1" applyBorder="1" applyAlignment="1">
      <alignment horizontal="center" vertical="center"/>
    </xf>
    <xf numFmtId="182" fontId="3" fillId="8" borderId="10" xfId="0" applyNumberFormat="1" applyFont="1" applyFill="1" applyBorder="1" applyAlignment="1">
      <alignment horizontal="center" vertical="center" wrapText="1"/>
    </xf>
    <xf numFmtId="184" fontId="3" fillId="8" borderId="10" xfId="0" applyNumberFormat="1" applyFont="1" applyFill="1" applyBorder="1" applyAlignment="1">
      <alignment horizontal="center" vertical="center" wrapText="1"/>
    </xf>
    <xf numFmtId="4" fontId="3" fillId="8" borderId="0" xfId="0" applyNumberFormat="1" applyFont="1" applyFill="1" applyAlignment="1">
      <alignment horizontal="center" vertical="center"/>
    </xf>
    <xf numFmtId="184" fontId="3" fillId="8" borderId="10" xfId="0" applyNumberFormat="1" applyFont="1" applyFill="1" applyBorder="1" applyAlignment="1">
      <alignment horizontal="center" vertical="center" wrapText="1"/>
    </xf>
    <xf numFmtId="184" fontId="3" fillId="8" borderId="10" xfId="0" applyNumberFormat="1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184" fontId="4" fillId="8" borderId="10" xfId="0" applyNumberFormat="1" applyFont="1" applyFill="1" applyBorder="1" applyAlignment="1">
      <alignment horizontal="center" vertical="center"/>
    </xf>
    <xf numFmtId="2" fontId="3" fillId="8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10" fillId="33" borderId="14" xfId="0" applyNumberFormat="1" applyFont="1" applyFill="1" applyBorder="1" applyAlignment="1">
      <alignment horizontal="center" vertical="top" wrapText="1"/>
    </xf>
    <xf numFmtId="0" fontId="6" fillId="8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top" wrapText="1"/>
    </xf>
    <xf numFmtId="2" fontId="3" fillId="16" borderId="10" xfId="0" applyNumberFormat="1" applyFont="1" applyFill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184" fontId="0" fillId="0" borderId="0" xfId="0" applyNumberFormat="1" applyAlignment="1">
      <alignment/>
    </xf>
    <xf numFmtId="0" fontId="6" fillId="36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95" fillId="33" borderId="14" xfId="0" applyFont="1" applyFill="1" applyBorder="1" applyAlignment="1">
      <alignment horizontal="center" vertical="top" wrapText="1"/>
    </xf>
    <xf numFmtId="0" fontId="10" fillId="33" borderId="12" xfId="0" applyNumberFormat="1" applyFont="1" applyFill="1" applyBorder="1" applyAlignment="1">
      <alignment horizontal="center" vertical="top" wrapText="1"/>
    </xf>
    <xf numFmtId="0" fontId="10" fillId="33" borderId="14" xfId="0" applyNumberFormat="1" applyFont="1" applyFill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88" fillId="34" borderId="38" xfId="0" applyFont="1" applyFill="1" applyBorder="1" applyAlignment="1">
      <alignment horizontal="center" vertical="center"/>
    </xf>
    <xf numFmtId="0" fontId="88" fillId="34" borderId="39" xfId="0" applyFont="1" applyFill="1" applyBorder="1" applyAlignment="1">
      <alignment horizontal="center" vertical="center"/>
    </xf>
    <xf numFmtId="0" fontId="88" fillId="34" borderId="40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top"/>
    </xf>
    <xf numFmtId="49" fontId="85" fillId="0" borderId="11" xfId="0" applyNumberFormat="1" applyFont="1" applyBorder="1" applyAlignment="1">
      <alignment horizontal="center" vertical="center" wrapText="1"/>
    </xf>
    <xf numFmtId="49" fontId="85" fillId="0" borderId="10" xfId="0" applyNumberFormat="1" applyFont="1" applyBorder="1" applyAlignment="1">
      <alignment horizontal="center" vertical="center" wrapText="1"/>
    </xf>
    <xf numFmtId="184" fontId="3" fillId="37" borderId="10" xfId="0" applyNumberFormat="1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184" fontId="3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184" fontId="4" fillId="37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10" fillId="33" borderId="15" xfId="0" applyNumberFormat="1" applyFont="1" applyFill="1" applyBorder="1" applyAlignment="1">
      <alignment horizontal="center" vertical="top"/>
    </xf>
    <xf numFmtId="49" fontId="10" fillId="33" borderId="28" xfId="0" applyNumberFormat="1" applyFont="1" applyFill="1" applyBorder="1" applyAlignment="1">
      <alignment horizontal="center" vertical="top"/>
    </xf>
    <xf numFmtId="0" fontId="10" fillId="33" borderId="28" xfId="0" applyNumberFormat="1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4" fontId="5" fillId="0" borderId="45" xfId="0" applyNumberFormat="1" applyFont="1" applyBorder="1" applyAlignment="1">
      <alignment horizontal="center" vertical="center" wrapText="1"/>
    </xf>
    <xf numFmtId="184" fontId="5" fillId="0" borderId="4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center" wrapText="1"/>
    </xf>
    <xf numFmtId="182" fontId="5" fillId="0" borderId="40" xfId="0" applyNumberFormat="1" applyFont="1" applyBorder="1" applyAlignment="1">
      <alignment horizontal="center" vertical="center" wrapText="1"/>
    </xf>
    <xf numFmtId="182" fontId="5" fillId="0" borderId="17" xfId="0" applyNumberFormat="1" applyFont="1" applyBorder="1" applyAlignment="1">
      <alignment horizontal="center" vertical="center" wrapText="1"/>
    </xf>
    <xf numFmtId="182" fontId="5" fillId="0" borderId="31" xfId="0" applyNumberFormat="1" applyFont="1" applyBorder="1" applyAlignment="1">
      <alignment horizontal="center" vertical="center" wrapText="1"/>
    </xf>
    <xf numFmtId="0" fontId="107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/>
    </xf>
    <xf numFmtId="182" fontId="3" fillId="0" borderId="0" xfId="0" applyNumberFormat="1" applyFont="1" applyBorder="1" applyAlignment="1">
      <alignment horizontal="right" vertical="center" wrapText="1"/>
    </xf>
    <xf numFmtId="182" fontId="3" fillId="0" borderId="0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" fontId="3" fillId="37" borderId="12" xfId="0" applyNumberFormat="1" applyFont="1" applyFill="1" applyBorder="1" applyAlignment="1">
      <alignment horizontal="center" vertical="center" wrapText="1"/>
    </xf>
    <xf numFmtId="1" fontId="3" fillId="37" borderId="11" xfId="0" applyNumberFormat="1" applyFont="1" applyFill="1" applyBorder="1" applyAlignment="1">
      <alignment horizontal="center" vertical="center" wrapText="1"/>
    </xf>
    <xf numFmtId="184" fontId="3" fillId="37" borderId="10" xfId="0" applyNumberFormat="1" applyFont="1" applyFill="1" applyBorder="1" applyAlignment="1">
      <alignment horizontal="center" vertical="center" wrapText="1"/>
    </xf>
    <xf numFmtId="2" fontId="5" fillId="0" borderId="48" xfId="0" applyNumberFormat="1" applyFont="1" applyBorder="1" applyAlignment="1">
      <alignment horizontal="center" vertical="center" wrapText="1"/>
    </xf>
    <xf numFmtId="2" fontId="5" fillId="0" borderId="33" xfId="0" applyNumberFormat="1" applyFont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3"/>
  <sheetViews>
    <sheetView zoomScale="120" zoomScaleNormal="120" zoomScalePageLayoutView="0" workbookViewId="0" topLeftCell="A1">
      <selection activeCell="R81" sqref="R81"/>
    </sheetView>
  </sheetViews>
  <sheetFormatPr defaultColWidth="9.00390625" defaultRowHeight="12.75"/>
  <cols>
    <col min="1" max="1" width="3.625" style="6" customWidth="1"/>
    <col min="2" max="2" width="24.00390625" style="79" customWidth="1"/>
    <col min="3" max="3" width="5.625" style="74" customWidth="1"/>
    <col min="4" max="4" width="9.875" style="74" customWidth="1"/>
    <col min="5" max="5" width="31.00390625" style="422" customWidth="1"/>
    <col min="6" max="6" width="5.75390625" style="6" customWidth="1"/>
    <col min="7" max="7" width="8.125" style="80" customWidth="1"/>
    <col min="8" max="8" width="11.75390625" style="81" customWidth="1"/>
    <col min="9" max="9" width="1.12109375" style="82" hidden="1" customWidth="1"/>
    <col min="10" max="10" width="11.25390625" style="121" customWidth="1"/>
    <col min="11" max="11" width="5.75390625" style="121" hidden="1" customWidth="1"/>
    <col min="12" max="12" width="5.00390625" style="121" hidden="1" customWidth="1"/>
    <col min="13" max="13" width="11.25390625" style="121" customWidth="1"/>
    <col min="14" max="14" width="12.25390625" style="122" customWidth="1"/>
    <col min="15" max="15" width="11.75390625" style="121" customWidth="1"/>
    <col min="16" max="16" width="12.625" style="280" customWidth="1"/>
    <col min="17" max="17" width="12.25390625" style="365" customWidth="1"/>
    <col min="18" max="18" width="15.25390625" style="36" customWidth="1"/>
    <col min="19" max="19" width="13.125" style="276" customWidth="1"/>
    <col min="20" max="20" width="29.125" style="11" customWidth="1"/>
    <col min="21" max="21" width="13.75390625" style="11" customWidth="1"/>
    <col min="22" max="16384" width="9.125" style="11" customWidth="1"/>
  </cols>
  <sheetData>
    <row r="1" spans="2:20" ht="46.5" customHeight="1">
      <c r="B1" s="504" t="s">
        <v>98</v>
      </c>
      <c r="C1" s="504"/>
      <c r="D1" s="504"/>
      <c r="E1" s="504"/>
      <c r="F1" s="7"/>
      <c r="G1" s="8"/>
      <c r="H1" s="9"/>
      <c r="I1" s="506" t="s">
        <v>224</v>
      </c>
      <c r="J1" s="507"/>
      <c r="K1" s="507"/>
      <c r="L1" s="507"/>
      <c r="M1" s="507"/>
      <c r="N1" s="507"/>
      <c r="O1" s="507"/>
      <c r="P1" s="279"/>
      <c r="Q1" s="215"/>
      <c r="R1" s="40"/>
      <c r="S1" s="266"/>
      <c r="T1" s="43"/>
    </row>
    <row r="2" spans="1:20" ht="30.75" customHeight="1">
      <c r="A2" s="495" t="s">
        <v>203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Q2" s="215"/>
      <c r="R2" s="40"/>
      <c r="S2" s="266"/>
      <c r="T2" s="43"/>
    </row>
    <row r="3" spans="1:20" ht="13.5" thickBot="1">
      <c r="A3" s="505" t="s">
        <v>6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Q3" s="215"/>
      <c r="R3" s="40"/>
      <c r="S3" s="266"/>
      <c r="T3" s="43"/>
    </row>
    <row r="4" spans="1:20" ht="13.5" customHeight="1" thickBot="1">
      <c r="A4" s="508" t="s">
        <v>0</v>
      </c>
      <c r="B4" s="478" t="s">
        <v>1</v>
      </c>
      <c r="C4" s="478" t="s">
        <v>15</v>
      </c>
      <c r="D4" s="478" t="s">
        <v>18</v>
      </c>
      <c r="E4" s="516" t="s">
        <v>2</v>
      </c>
      <c r="F4" s="478" t="s">
        <v>3</v>
      </c>
      <c r="G4" s="513" t="s">
        <v>14</v>
      </c>
      <c r="H4" s="496" t="s">
        <v>17</v>
      </c>
      <c r="I4" s="501" t="s">
        <v>22</v>
      </c>
      <c r="J4" s="502"/>
      <c r="K4" s="502"/>
      <c r="L4" s="502"/>
      <c r="M4" s="502"/>
      <c r="N4" s="502"/>
      <c r="O4" s="503"/>
      <c r="P4" s="281"/>
      <c r="Q4" s="215"/>
      <c r="R4" s="40"/>
      <c r="S4" s="266"/>
      <c r="T4" s="43"/>
    </row>
    <row r="5" spans="1:20" ht="34.5" customHeight="1" thickBot="1">
      <c r="A5" s="509"/>
      <c r="B5" s="479"/>
      <c r="C5" s="479"/>
      <c r="D5" s="479"/>
      <c r="E5" s="517"/>
      <c r="F5" s="479"/>
      <c r="G5" s="514"/>
      <c r="H5" s="497"/>
      <c r="I5" s="13"/>
      <c r="J5" s="123" t="s">
        <v>23</v>
      </c>
      <c r="K5" s="124" t="s">
        <v>4</v>
      </c>
      <c r="L5" s="124" t="s">
        <v>5</v>
      </c>
      <c r="M5" s="123" t="s">
        <v>24</v>
      </c>
      <c r="N5" s="125" t="s">
        <v>4</v>
      </c>
      <c r="O5" s="126" t="s">
        <v>5</v>
      </c>
      <c r="P5" s="282"/>
      <c r="Q5" s="215"/>
      <c r="R5" s="40"/>
      <c r="S5" s="266"/>
      <c r="T5" s="43"/>
    </row>
    <row r="6" spans="1:20" s="14" customFormat="1" ht="16.5" thickBot="1">
      <c r="A6" s="467" t="s">
        <v>43</v>
      </c>
      <c r="B6" s="480"/>
      <c r="C6" s="480"/>
      <c r="D6" s="480"/>
      <c r="E6" s="480"/>
      <c r="F6" s="480"/>
      <c r="G6" s="480"/>
      <c r="H6" s="481"/>
      <c r="I6" s="481"/>
      <c r="J6" s="481"/>
      <c r="K6" s="481"/>
      <c r="L6" s="481"/>
      <c r="M6" s="481"/>
      <c r="N6" s="481"/>
      <c r="O6" s="482"/>
      <c r="P6" s="283"/>
      <c r="Q6" s="215"/>
      <c r="R6" s="24"/>
      <c r="S6" s="267"/>
      <c r="T6" s="155"/>
    </row>
    <row r="7" spans="1:20" s="15" customFormat="1" ht="36" customHeight="1">
      <c r="A7" s="236">
        <v>1</v>
      </c>
      <c r="B7" s="169"/>
      <c r="C7" s="89">
        <v>226</v>
      </c>
      <c r="D7" s="89" t="s">
        <v>19</v>
      </c>
      <c r="E7" s="411" t="s">
        <v>126</v>
      </c>
      <c r="F7" s="90" t="s">
        <v>13</v>
      </c>
      <c r="G7" s="91">
        <v>12</v>
      </c>
      <c r="H7" s="87">
        <f>SUM(J7:O7)</f>
        <v>31.3928</v>
      </c>
      <c r="I7" s="88"/>
      <c r="J7" s="127">
        <v>0</v>
      </c>
      <c r="K7" s="127"/>
      <c r="L7" s="127"/>
      <c r="M7" s="128">
        <v>31.3928</v>
      </c>
      <c r="N7" s="127">
        <v>0</v>
      </c>
      <c r="O7" s="127">
        <v>0</v>
      </c>
      <c r="P7" s="284"/>
      <c r="Q7" s="215"/>
      <c r="R7" s="24"/>
      <c r="S7" s="268"/>
      <c r="T7" s="23"/>
    </row>
    <row r="8" spans="1:20" s="15" customFormat="1" ht="36" customHeight="1">
      <c r="A8" s="237"/>
      <c r="B8" s="169"/>
      <c r="C8" s="89">
        <v>226</v>
      </c>
      <c r="D8" s="89" t="s">
        <v>19</v>
      </c>
      <c r="E8" s="411" t="s">
        <v>127</v>
      </c>
      <c r="F8" s="90" t="s">
        <v>13</v>
      </c>
      <c r="G8" s="91">
        <v>56</v>
      </c>
      <c r="H8" s="87">
        <f>SUM(J8:O8)</f>
        <v>118.34934</v>
      </c>
      <c r="I8" s="88"/>
      <c r="J8" s="127">
        <v>0</v>
      </c>
      <c r="K8" s="127"/>
      <c r="L8" s="127"/>
      <c r="M8" s="128">
        <v>118.34934</v>
      </c>
      <c r="N8" s="127">
        <v>0</v>
      </c>
      <c r="O8" s="127">
        <v>0</v>
      </c>
      <c r="P8" s="284"/>
      <c r="Q8" s="215"/>
      <c r="R8" s="24"/>
      <c r="S8" s="268"/>
      <c r="T8" s="23"/>
    </row>
    <row r="9" spans="1:20" s="15" customFormat="1" ht="36" customHeight="1">
      <c r="A9" s="237"/>
      <c r="B9" s="169"/>
      <c r="C9" s="89">
        <v>226</v>
      </c>
      <c r="D9" s="89" t="s">
        <v>19</v>
      </c>
      <c r="E9" s="411" t="s">
        <v>128</v>
      </c>
      <c r="F9" s="90" t="s">
        <v>13</v>
      </c>
      <c r="G9" s="91">
        <v>2</v>
      </c>
      <c r="H9" s="87">
        <f>SUM(J9:O9)</f>
        <v>7.46849</v>
      </c>
      <c r="I9" s="88"/>
      <c r="J9" s="127">
        <v>0</v>
      </c>
      <c r="K9" s="127"/>
      <c r="L9" s="127"/>
      <c r="M9" s="128">
        <v>7.46849</v>
      </c>
      <c r="N9" s="127">
        <v>0</v>
      </c>
      <c r="O9" s="127">
        <v>0</v>
      </c>
      <c r="P9" s="284"/>
      <c r="Q9" s="215"/>
      <c r="R9" s="24"/>
      <c r="S9" s="268"/>
      <c r="T9" s="23"/>
    </row>
    <row r="10" spans="1:20" s="16" customFormat="1" ht="36" customHeight="1">
      <c r="A10" s="237"/>
      <c r="B10" s="169"/>
      <c r="C10" s="89">
        <v>226</v>
      </c>
      <c r="D10" s="89" t="s">
        <v>19</v>
      </c>
      <c r="E10" s="411" t="s">
        <v>129</v>
      </c>
      <c r="F10" s="92" t="s">
        <v>13</v>
      </c>
      <c r="G10" s="91">
        <v>38.25</v>
      </c>
      <c r="H10" s="87">
        <f>SUM(J10:O10)</f>
        <v>85.4537</v>
      </c>
      <c r="I10" s="88"/>
      <c r="J10" s="127">
        <v>0</v>
      </c>
      <c r="K10" s="127"/>
      <c r="L10" s="127"/>
      <c r="M10" s="128">
        <v>85.4537</v>
      </c>
      <c r="N10" s="127">
        <v>0</v>
      </c>
      <c r="O10" s="127">
        <v>0</v>
      </c>
      <c r="P10" s="284"/>
      <c r="Q10" s="215"/>
      <c r="R10" s="24"/>
      <c r="S10" s="269"/>
      <c r="T10" s="156"/>
    </row>
    <row r="11" spans="1:20" s="15" customFormat="1" ht="36" customHeight="1">
      <c r="A11" s="237"/>
      <c r="B11" s="169"/>
      <c r="C11" s="89">
        <v>226</v>
      </c>
      <c r="D11" s="89" t="s">
        <v>19</v>
      </c>
      <c r="E11" s="342" t="s">
        <v>71</v>
      </c>
      <c r="F11" s="90" t="s">
        <v>13</v>
      </c>
      <c r="G11" s="91">
        <v>3</v>
      </c>
      <c r="H11" s="87">
        <f aca="true" t="shared" si="0" ref="H11:H28">SUM(J11:O11)</f>
        <v>9.62248</v>
      </c>
      <c r="I11" s="88"/>
      <c r="J11" s="127">
        <v>0</v>
      </c>
      <c r="K11" s="127"/>
      <c r="L11" s="127"/>
      <c r="M11" s="128">
        <v>9.62248</v>
      </c>
      <c r="N11" s="127">
        <v>0</v>
      </c>
      <c r="O11" s="127">
        <v>0</v>
      </c>
      <c r="P11" s="284"/>
      <c r="Q11" s="163"/>
      <c r="R11" s="24"/>
      <c r="S11" s="268"/>
      <c r="T11" s="23"/>
    </row>
    <row r="12" spans="1:20" s="15" customFormat="1" ht="36" customHeight="1">
      <c r="A12" s="237"/>
      <c r="B12" s="169"/>
      <c r="C12" s="89">
        <v>226</v>
      </c>
      <c r="D12" s="89" t="s">
        <v>19</v>
      </c>
      <c r="E12" s="342" t="s">
        <v>130</v>
      </c>
      <c r="F12" s="90" t="s">
        <v>13</v>
      </c>
      <c r="G12" s="91">
        <v>4</v>
      </c>
      <c r="H12" s="87">
        <f t="shared" si="0"/>
        <v>16.51616</v>
      </c>
      <c r="I12" s="88"/>
      <c r="J12" s="127">
        <v>0</v>
      </c>
      <c r="K12" s="127"/>
      <c r="L12" s="127"/>
      <c r="M12" s="128">
        <v>16.51616</v>
      </c>
      <c r="N12" s="127">
        <v>0</v>
      </c>
      <c r="O12" s="127">
        <v>0</v>
      </c>
      <c r="P12" s="284"/>
      <c r="Q12" s="163"/>
      <c r="R12" s="24"/>
      <c r="S12" s="268"/>
      <c r="T12" s="23"/>
    </row>
    <row r="13" spans="1:20" s="15" customFormat="1" ht="36" customHeight="1">
      <c r="A13" s="237"/>
      <c r="B13" s="460" t="s">
        <v>73</v>
      </c>
      <c r="C13" s="89">
        <v>226</v>
      </c>
      <c r="D13" s="89" t="s">
        <v>19</v>
      </c>
      <c r="E13" s="342" t="s">
        <v>131</v>
      </c>
      <c r="F13" s="90" t="s">
        <v>13</v>
      </c>
      <c r="G13" s="91">
        <v>28.75</v>
      </c>
      <c r="H13" s="87">
        <f t="shared" si="0"/>
        <v>83.53817</v>
      </c>
      <c r="I13" s="88"/>
      <c r="J13" s="127">
        <v>0</v>
      </c>
      <c r="K13" s="127"/>
      <c r="L13" s="127"/>
      <c r="M13" s="128">
        <v>83.53817</v>
      </c>
      <c r="N13" s="127">
        <v>0</v>
      </c>
      <c r="O13" s="127">
        <v>0</v>
      </c>
      <c r="P13" s="284"/>
      <c r="Q13" s="163"/>
      <c r="R13" s="24"/>
      <c r="S13" s="268"/>
      <c r="T13" s="23"/>
    </row>
    <row r="14" spans="1:20" s="15" customFormat="1" ht="36" customHeight="1">
      <c r="A14" s="237"/>
      <c r="B14" s="460"/>
      <c r="C14" s="332">
        <v>226</v>
      </c>
      <c r="D14" s="332" t="s">
        <v>19</v>
      </c>
      <c r="E14" s="1" t="s">
        <v>132</v>
      </c>
      <c r="F14" s="334" t="s">
        <v>13</v>
      </c>
      <c r="G14" s="20">
        <v>5</v>
      </c>
      <c r="H14" s="333">
        <f t="shared" si="0"/>
        <v>17.8825</v>
      </c>
      <c r="I14" s="21"/>
      <c r="J14" s="331">
        <v>0</v>
      </c>
      <c r="K14" s="331"/>
      <c r="L14" s="331"/>
      <c r="M14" s="330">
        <v>17.8825</v>
      </c>
      <c r="N14" s="331">
        <v>0</v>
      </c>
      <c r="O14" s="331">
        <v>0</v>
      </c>
      <c r="P14" s="284"/>
      <c r="Q14" s="163"/>
      <c r="R14" s="24"/>
      <c r="S14" s="268"/>
      <c r="T14" s="23"/>
    </row>
    <row r="15" spans="1:20" s="15" customFormat="1" ht="36" customHeight="1">
      <c r="A15" s="237"/>
      <c r="B15" s="460"/>
      <c r="C15" s="332">
        <v>226</v>
      </c>
      <c r="D15" s="332" t="s">
        <v>19</v>
      </c>
      <c r="E15" s="5" t="s">
        <v>133</v>
      </c>
      <c r="F15" s="334" t="s">
        <v>13</v>
      </c>
      <c r="G15" s="20">
        <f>9.75+39.75</f>
        <v>49.5</v>
      </c>
      <c r="H15" s="333">
        <f t="shared" si="0"/>
        <v>138.80383</v>
      </c>
      <c r="I15" s="21"/>
      <c r="J15" s="331">
        <v>0</v>
      </c>
      <c r="K15" s="331"/>
      <c r="L15" s="331"/>
      <c r="M15" s="330">
        <v>138.80383</v>
      </c>
      <c r="N15" s="331">
        <v>0</v>
      </c>
      <c r="O15" s="331">
        <v>0</v>
      </c>
      <c r="P15" s="284"/>
      <c r="Q15" s="163"/>
      <c r="R15" s="24"/>
      <c r="S15" s="268"/>
      <c r="T15" s="23"/>
    </row>
    <row r="16" spans="1:20" s="15" customFormat="1" ht="36" customHeight="1">
      <c r="A16" s="237"/>
      <c r="B16" s="460"/>
      <c r="C16" s="89">
        <v>226</v>
      </c>
      <c r="D16" s="89" t="s">
        <v>19</v>
      </c>
      <c r="E16" s="411" t="s">
        <v>135</v>
      </c>
      <c r="F16" s="90" t="s">
        <v>13</v>
      </c>
      <c r="G16" s="91">
        <v>14</v>
      </c>
      <c r="H16" s="87">
        <f t="shared" si="0"/>
        <v>38.07154</v>
      </c>
      <c r="I16" s="88"/>
      <c r="J16" s="127">
        <v>0</v>
      </c>
      <c r="K16" s="127"/>
      <c r="L16" s="127"/>
      <c r="M16" s="128">
        <v>38.07154</v>
      </c>
      <c r="N16" s="127">
        <v>0</v>
      </c>
      <c r="O16" s="127">
        <v>0</v>
      </c>
      <c r="P16" s="284"/>
      <c r="Q16" s="163"/>
      <c r="R16" s="24"/>
      <c r="S16" s="268"/>
      <c r="T16" s="23"/>
    </row>
    <row r="17" spans="1:20" s="15" customFormat="1" ht="36" customHeight="1">
      <c r="A17" s="237"/>
      <c r="B17" s="460"/>
      <c r="C17" s="89">
        <v>226</v>
      </c>
      <c r="D17" s="89" t="s">
        <v>42</v>
      </c>
      <c r="E17" s="411" t="s">
        <v>136</v>
      </c>
      <c r="F17" s="90" t="s">
        <v>13</v>
      </c>
      <c r="G17" s="91">
        <v>7.5</v>
      </c>
      <c r="H17" s="87">
        <f t="shared" si="0"/>
        <v>20.52218</v>
      </c>
      <c r="I17" s="88"/>
      <c r="J17" s="127">
        <v>0</v>
      </c>
      <c r="K17" s="127"/>
      <c r="L17" s="127"/>
      <c r="M17" s="128">
        <v>20.52218</v>
      </c>
      <c r="N17" s="127">
        <v>0</v>
      </c>
      <c r="O17" s="127">
        <v>0</v>
      </c>
      <c r="P17" s="284"/>
      <c r="Q17" s="163"/>
      <c r="R17" s="24"/>
      <c r="S17" s="268"/>
      <c r="T17" s="23"/>
    </row>
    <row r="18" spans="1:20" s="15" customFormat="1" ht="36" customHeight="1">
      <c r="A18" s="237"/>
      <c r="B18" s="460"/>
      <c r="C18" s="89">
        <v>226</v>
      </c>
      <c r="D18" s="89" t="s">
        <v>19</v>
      </c>
      <c r="E18" s="411" t="s">
        <v>137</v>
      </c>
      <c r="F18" s="90" t="s">
        <v>13</v>
      </c>
      <c r="G18" s="91">
        <v>3.5</v>
      </c>
      <c r="H18" s="87">
        <f t="shared" si="0"/>
        <v>11.90159</v>
      </c>
      <c r="I18" s="88"/>
      <c r="J18" s="127">
        <v>0</v>
      </c>
      <c r="K18" s="127"/>
      <c r="L18" s="127"/>
      <c r="M18" s="128">
        <v>11.90159</v>
      </c>
      <c r="N18" s="127">
        <v>0</v>
      </c>
      <c r="O18" s="127">
        <v>0</v>
      </c>
      <c r="P18" s="284"/>
      <c r="Q18" s="163"/>
      <c r="R18" s="24"/>
      <c r="S18" s="268"/>
      <c r="T18" s="23"/>
    </row>
    <row r="19" spans="1:20" s="15" customFormat="1" ht="36" customHeight="1">
      <c r="A19" s="237"/>
      <c r="B19" s="460"/>
      <c r="C19" s="89">
        <v>226</v>
      </c>
      <c r="D19" s="89" t="s">
        <v>19</v>
      </c>
      <c r="E19" s="411" t="s">
        <v>138</v>
      </c>
      <c r="F19" s="90" t="s">
        <v>13</v>
      </c>
      <c r="G19" s="91">
        <v>2</v>
      </c>
      <c r="H19" s="87">
        <f t="shared" si="0"/>
        <v>9.04727</v>
      </c>
      <c r="I19" s="88"/>
      <c r="J19" s="127">
        <v>0</v>
      </c>
      <c r="K19" s="127"/>
      <c r="L19" s="127"/>
      <c r="M19" s="128">
        <v>9.04727</v>
      </c>
      <c r="N19" s="127">
        <v>0</v>
      </c>
      <c r="O19" s="127">
        <v>0</v>
      </c>
      <c r="P19" s="284"/>
      <c r="Q19" s="163"/>
      <c r="R19" s="24"/>
      <c r="S19" s="268"/>
      <c r="T19" s="23"/>
    </row>
    <row r="20" spans="1:20" s="15" customFormat="1" ht="36" customHeight="1">
      <c r="A20" s="237"/>
      <c r="B20" s="460"/>
      <c r="C20" s="89">
        <v>226</v>
      </c>
      <c r="D20" s="89" t="s">
        <v>19</v>
      </c>
      <c r="E20" s="342" t="s">
        <v>139</v>
      </c>
      <c r="F20" s="90" t="s">
        <v>13</v>
      </c>
      <c r="G20" s="91">
        <v>9</v>
      </c>
      <c r="H20" s="87">
        <f t="shared" si="0"/>
        <v>29.6619</v>
      </c>
      <c r="I20" s="88"/>
      <c r="J20" s="127">
        <v>0</v>
      </c>
      <c r="K20" s="127"/>
      <c r="L20" s="127"/>
      <c r="M20" s="128">
        <v>29.6619</v>
      </c>
      <c r="N20" s="127">
        <v>0</v>
      </c>
      <c r="O20" s="127">
        <v>0</v>
      </c>
      <c r="P20" s="284"/>
      <c r="Q20" s="163"/>
      <c r="R20" s="24"/>
      <c r="S20" s="268"/>
      <c r="T20" s="23"/>
    </row>
    <row r="21" spans="1:20" s="15" customFormat="1" ht="36" customHeight="1">
      <c r="A21" s="237"/>
      <c r="B21" s="460"/>
      <c r="C21" s="89">
        <v>226</v>
      </c>
      <c r="D21" s="89" t="s">
        <v>19</v>
      </c>
      <c r="E21" s="342" t="s">
        <v>140</v>
      </c>
      <c r="F21" s="90" t="s">
        <v>13</v>
      </c>
      <c r="G21" s="91">
        <v>27.75</v>
      </c>
      <c r="H21" s="87">
        <f t="shared" si="0"/>
        <v>96.37978</v>
      </c>
      <c r="I21" s="88"/>
      <c r="J21" s="127">
        <v>0</v>
      </c>
      <c r="K21" s="127"/>
      <c r="L21" s="127"/>
      <c r="M21" s="128">
        <v>96.37978</v>
      </c>
      <c r="N21" s="127">
        <v>0</v>
      </c>
      <c r="O21" s="127">
        <v>0</v>
      </c>
      <c r="P21" s="284"/>
      <c r="Q21" s="163"/>
      <c r="R21" s="24"/>
      <c r="S21" s="268"/>
      <c r="T21" s="23"/>
    </row>
    <row r="22" spans="1:20" s="15" customFormat="1" ht="36" customHeight="1">
      <c r="A22" s="237"/>
      <c r="B22" s="460"/>
      <c r="C22" s="89">
        <v>226</v>
      </c>
      <c r="D22" s="89" t="s">
        <v>19</v>
      </c>
      <c r="E22" s="342" t="s">
        <v>141</v>
      </c>
      <c r="F22" s="90" t="s">
        <v>13</v>
      </c>
      <c r="G22" s="91">
        <v>1.5</v>
      </c>
      <c r="H22" s="87">
        <f t="shared" si="0"/>
        <v>6.01021</v>
      </c>
      <c r="I22" s="88"/>
      <c r="J22" s="127">
        <v>0</v>
      </c>
      <c r="K22" s="127"/>
      <c r="L22" s="127"/>
      <c r="M22" s="128">
        <v>6.01021</v>
      </c>
      <c r="N22" s="127">
        <v>0</v>
      </c>
      <c r="O22" s="127">
        <v>0</v>
      </c>
      <c r="P22" s="284"/>
      <c r="Q22" s="163"/>
      <c r="R22" s="24"/>
      <c r="S22" s="268"/>
      <c r="T22" s="23"/>
    </row>
    <row r="23" spans="1:20" s="15" customFormat="1" ht="36" customHeight="1">
      <c r="A23" s="237"/>
      <c r="B23" s="460"/>
      <c r="C23" s="89">
        <v>226</v>
      </c>
      <c r="D23" s="89" t="s">
        <v>19</v>
      </c>
      <c r="E23" s="342" t="s">
        <v>142</v>
      </c>
      <c r="F23" s="90" t="s">
        <v>13</v>
      </c>
      <c r="G23" s="91">
        <v>51.5</v>
      </c>
      <c r="H23" s="87">
        <f t="shared" si="0"/>
        <v>119.32134</v>
      </c>
      <c r="I23" s="88"/>
      <c r="J23" s="127">
        <v>0</v>
      </c>
      <c r="K23" s="127"/>
      <c r="L23" s="127"/>
      <c r="M23" s="128">
        <v>119.32134</v>
      </c>
      <c r="N23" s="127">
        <v>0</v>
      </c>
      <c r="O23" s="127">
        <v>0</v>
      </c>
      <c r="P23" s="284"/>
      <c r="Q23" s="163"/>
      <c r="R23" s="24"/>
      <c r="S23" s="268"/>
      <c r="T23" s="23"/>
    </row>
    <row r="24" spans="1:20" s="15" customFormat="1" ht="36" customHeight="1">
      <c r="A24" s="237"/>
      <c r="B24" s="460"/>
      <c r="C24" s="332">
        <v>226</v>
      </c>
      <c r="D24" s="332" t="s">
        <v>19</v>
      </c>
      <c r="E24" s="5" t="s">
        <v>143</v>
      </c>
      <c r="F24" s="334" t="s">
        <v>13</v>
      </c>
      <c r="G24" s="20">
        <v>1</v>
      </c>
      <c r="H24" s="333">
        <f t="shared" si="0"/>
        <v>4.52222</v>
      </c>
      <c r="I24" s="21"/>
      <c r="J24" s="331">
        <v>0</v>
      </c>
      <c r="K24" s="331"/>
      <c r="L24" s="331"/>
      <c r="M24" s="330">
        <v>4.52222</v>
      </c>
      <c r="N24" s="331">
        <v>0</v>
      </c>
      <c r="O24" s="331">
        <v>0</v>
      </c>
      <c r="P24" s="284"/>
      <c r="Q24" s="163"/>
      <c r="R24" s="24"/>
      <c r="S24" s="268"/>
      <c r="T24" s="23"/>
    </row>
    <row r="25" spans="1:20" s="15" customFormat="1" ht="36" customHeight="1">
      <c r="A25" s="237"/>
      <c r="B25" s="460"/>
      <c r="C25" s="332">
        <v>226</v>
      </c>
      <c r="D25" s="332" t="s">
        <v>19</v>
      </c>
      <c r="E25" s="5" t="s">
        <v>144</v>
      </c>
      <c r="F25" s="334" t="s">
        <v>13</v>
      </c>
      <c r="G25" s="20">
        <v>9</v>
      </c>
      <c r="H25" s="333">
        <f t="shared" si="0"/>
        <v>33.60788</v>
      </c>
      <c r="I25" s="21"/>
      <c r="J25" s="331">
        <v>0</v>
      </c>
      <c r="K25" s="331"/>
      <c r="L25" s="331"/>
      <c r="M25" s="330">
        <v>33.60788</v>
      </c>
      <c r="N25" s="331">
        <v>0</v>
      </c>
      <c r="O25" s="331">
        <v>0</v>
      </c>
      <c r="P25" s="284"/>
      <c r="Q25" s="163"/>
      <c r="R25" s="24"/>
      <c r="S25" s="268"/>
      <c r="T25" s="23"/>
    </row>
    <row r="26" spans="1:20" s="15" customFormat="1" ht="36" customHeight="1">
      <c r="A26" s="237"/>
      <c r="B26" s="460"/>
      <c r="C26" s="332">
        <v>226</v>
      </c>
      <c r="D26" s="332" t="s">
        <v>19</v>
      </c>
      <c r="E26" s="1" t="s">
        <v>145</v>
      </c>
      <c r="F26" s="334" t="s">
        <v>13</v>
      </c>
      <c r="G26" s="20">
        <v>1</v>
      </c>
      <c r="H26" s="333">
        <f t="shared" si="0"/>
        <v>4.52222</v>
      </c>
      <c r="I26" s="21"/>
      <c r="J26" s="331">
        <v>0</v>
      </c>
      <c r="K26" s="331"/>
      <c r="L26" s="331"/>
      <c r="M26" s="330">
        <v>4.52222</v>
      </c>
      <c r="N26" s="331">
        <v>0</v>
      </c>
      <c r="O26" s="331">
        <v>0</v>
      </c>
      <c r="P26" s="284"/>
      <c r="Q26" s="163"/>
      <c r="R26" s="24"/>
      <c r="S26" s="268"/>
      <c r="T26" s="23"/>
    </row>
    <row r="27" spans="1:20" s="15" customFormat="1" ht="36" customHeight="1">
      <c r="A27" s="237"/>
      <c r="B27" s="460"/>
      <c r="C27" s="332">
        <v>226</v>
      </c>
      <c r="D27" s="332" t="s">
        <v>19</v>
      </c>
      <c r="E27" s="1" t="s">
        <v>146</v>
      </c>
      <c r="F27" s="334" t="s">
        <v>13</v>
      </c>
      <c r="G27" s="20">
        <v>1.5</v>
      </c>
      <c r="H27" s="333">
        <f t="shared" si="0"/>
        <v>6.01021</v>
      </c>
      <c r="I27" s="21"/>
      <c r="J27" s="331">
        <v>0</v>
      </c>
      <c r="K27" s="331"/>
      <c r="L27" s="331"/>
      <c r="M27" s="330">
        <v>6.01021</v>
      </c>
      <c r="N27" s="331">
        <v>0</v>
      </c>
      <c r="O27" s="331">
        <v>0</v>
      </c>
      <c r="P27" s="284"/>
      <c r="Q27" s="215"/>
      <c r="R27" s="24"/>
      <c r="S27" s="268"/>
      <c r="T27" s="23"/>
    </row>
    <row r="28" spans="1:20" s="15" customFormat="1" ht="36" customHeight="1">
      <c r="A28" s="237"/>
      <c r="B28" s="460"/>
      <c r="C28" s="332">
        <v>226</v>
      </c>
      <c r="D28" s="332" t="s">
        <v>19</v>
      </c>
      <c r="E28" s="1" t="s">
        <v>147</v>
      </c>
      <c r="F28" s="334" t="s">
        <v>13</v>
      </c>
      <c r="G28" s="20">
        <v>10.5</v>
      </c>
      <c r="H28" s="333">
        <f t="shared" si="0"/>
        <v>24.62228</v>
      </c>
      <c r="I28" s="21"/>
      <c r="J28" s="331">
        <v>0</v>
      </c>
      <c r="K28" s="331"/>
      <c r="L28" s="331"/>
      <c r="M28" s="330">
        <v>24.62228</v>
      </c>
      <c r="N28" s="331">
        <v>0</v>
      </c>
      <c r="O28" s="331">
        <v>0</v>
      </c>
      <c r="P28" s="284"/>
      <c r="Q28" s="215"/>
      <c r="R28" s="24"/>
      <c r="S28" s="268"/>
      <c r="T28" s="23"/>
    </row>
    <row r="29" spans="1:20" s="15" customFormat="1" ht="36" customHeight="1">
      <c r="A29" s="237"/>
      <c r="B29" s="460"/>
      <c r="C29" s="332">
        <v>226</v>
      </c>
      <c r="D29" s="332" t="s">
        <v>19</v>
      </c>
      <c r="E29" s="1" t="s">
        <v>148</v>
      </c>
      <c r="F29" s="334" t="s">
        <v>13</v>
      </c>
      <c r="G29" s="20">
        <v>8.5</v>
      </c>
      <c r="H29" s="333">
        <f aca="true" t="shared" si="1" ref="H29:H41">SUM(J29:O29)</f>
        <v>31.36255</v>
      </c>
      <c r="I29" s="21"/>
      <c r="J29" s="331">
        <v>0</v>
      </c>
      <c r="K29" s="331"/>
      <c r="L29" s="331"/>
      <c r="M29" s="330">
        <v>31.36255</v>
      </c>
      <c r="N29" s="331">
        <v>0</v>
      </c>
      <c r="O29" s="331">
        <v>0</v>
      </c>
      <c r="P29" s="284"/>
      <c r="Q29" s="215"/>
      <c r="R29" s="24"/>
      <c r="S29" s="268"/>
      <c r="T29" s="23"/>
    </row>
    <row r="30" spans="1:20" s="15" customFormat="1" ht="36" customHeight="1">
      <c r="A30" s="237"/>
      <c r="B30" s="460"/>
      <c r="C30" s="89">
        <v>226</v>
      </c>
      <c r="D30" s="89" t="s">
        <v>19</v>
      </c>
      <c r="E30" s="342" t="s">
        <v>149</v>
      </c>
      <c r="F30" s="90" t="s">
        <v>13</v>
      </c>
      <c r="G30" s="91">
        <f>4+5</f>
        <v>9</v>
      </c>
      <c r="H30" s="87">
        <f t="shared" si="1"/>
        <v>27.71399</v>
      </c>
      <c r="I30" s="88"/>
      <c r="J30" s="127">
        <v>0</v>
      </c>
      <c r="K30" s="127"/>
      <c r="L30" s="127"/>
      <c r="M30" s="128">
        <v>27.71399</v>
      </c>
      <c r="N30" s="127">
        <v>0</v>
      </c>
      <c r="O30" s="127">
        <v>0</v>
      </c>
      <c r="P30" s="284"/>
      <c r="Q30" s="215"/>
      <c r="R30" s="24"/>
      <c r="S30" s="268"/>
      <c r="T30" s="23"/>
    </row>
    <row r="31" spans="1:20" s="15" customFormat="1" ht="36" customHeight="1">
      <c r="A31" s="237"/>
      <c r="B31" s="460"/>
      <c r="C31" s="89">
        <v>226</v>
      </c>
      <c r="D31" s="89" t="s">
        <v>19</v>
      </c>
      <c r="E31" s="342" t="s">
        <v>150</v>
      </c>
      <c r="F31" s="90" t="s">
        <v>13</v>
      </c>
      <c r="G31" s="91">
        <f>16.75+170.67</f>
        <v>187.42</v>
      </c>
      <c r="H31" s="87">
        <f t="shared" si="1"/>
        <v>320.78738</v>
      </c>
      <c r="I31" s="88"/>
      <c r="J31" s="127">
        <v>0</v>
      </c>
      <c r="K31" s="127"/>
      <c r="L31" s="127"/>
      <c r="M31" s="128">
        <v>320.78738</v>
      </c>
      <c r="N31" s="127">
        <v>0</v>
      </c>
      <c r="O31" s="127">
        <v>0</v>
      </c>
      <c r="P31" s="284"/>
      <c r="Q31" s="215"/>
      <c r="R31" s="24"/>
      <c r="S31" s="268"/>
      <c r="T31" s="23"/>
    </row>
    <row r="32" spans="1:20" s="15" customFormat="1" ht="36" customHeight="1">
      <c r="A32" s="237"/>
      <c r="B32" s="460"/>
      <c r="C32" s="89">
        <v>226</v>
      </c>
      <c r="D32" s="89" t="s">
        <v>19</v>
      </c>
      <c r="E32" s="342" t="s">
        <v>134</v>
      </c>
      <c r="F32" s="90" t="s">
        <v>13</v>
      </c>
      <c r="G32" s="91">
        <v>7</v>
      </c>
      <c r="H32" s="87">
        <f t="shared" si="1"/>
        <v>25.35196</v>
      </c>
      <c r="I32" s="88"/>
      <c r="J32" s="127">
        <v>0</v>
      </c>
      <c r="K32" s="127"/>
      <c r="L32" s="127"/>
      <c r="M32" s="128">
        <v>25.35196</v>
      </c>
      <c r="N32" s="127">
        <v>0</v>
      </c>
      <c r="O32" s="127">
        <v>0</v>
      </c>
      <c r="P32" s="284"/>
      <c r="Q32" s="215"/>
      <c r="R32" s="24"/>
      <c r="S32" s="268"/>
      <c r="T32" s="23"/>
    </row>
    <row r="33" spans="1:20" s="15" customFormat="1" ht="36" customHeight="1">
      <c r="A33" s="237"/>
      <c r="B33" s="460"/>
      <c r="C33" s="89">
        <v>226</v>
      </c>
      <c r="D33" s="89" t="s">
        <v>19</v>
      </c>
      <c r="E33" s="342" t="s">
        <v>151</v>
      </c>
      <c r="F33" s="90" t="s">
        <v>13</v>
      </c>
      <c r="G33" s="91">
        <v>9.9</v>
      </c>
      <c r="H33" s="87">
        <f t="shared" si="1"/>
        <v>28.68264</v>
      </c>
      <c r="I33" s="88"/>
      <c r="J33" s="127">
        <v>0</v>
      </c>
      <c r="K33" s="127"/>
      <c r="L33" s="127"/>
      <c r="M33" s="128">
        <v>28.68264</v>
      </c>
      <c r="N33" s="127">
        <v>0</v>
      </c>
      <c r="O33" s="127">
        <v>0</v>
      </c>
      <c r="P33" s="284"/>
      <c r="Q33" s="163"/>
      <c r="R33" s="24"/>
      <c r="S33" s="268"/>
      <c r="T33" s="23"/>
    </row>
    <row r="34" spans="1:20" s="15" customFormat="1" ht="36" customHeight="1">
      <c r="A34" s="237"/>
      <c r="B34" s="460"/>
      <c r="C34" s="89">
        <v>226</v>
      </c>
      <c r="D34" s="89" t="s">
        <v>19</v>
      </c>
      <c r="E34" s="342" t="s">
        <v>152</v>
      </c>
      <c r="F34" s="90" t="s">
        <v>13</v>
      </c>
      <c r="G34" s="91">
        <v>16.5</v>
      </c>
      <c r="H34" s="87">
        <f t="shared" si="1"/>
        <v>35.9777</v>
      </c>
      <c r="I34" s="88"/>
      <c r="J34" s="127">
        <v>0</v>
      </c>
      <c r="K34" s="127"/>
      <c r="L34" s="127"/>
      <c r="M34" s="128">
        <v>35.9777</v>
      </c>
      <c r="N34" s="127">
        <v>0</v>
      </c>
      <c r="O34" s="127">
        <v>0</v>
      </c>
      <c r="P34" s="284"/>
      <c r="Q34" s="163"/>
      <c r="R34" s="24"/>
      <c r="S34" s="268"/>
      <c r="T34" s="23"/>
    </row>
    <row r="35" spans="1:20" s="15" customFormat="1" ht="36" customHeight="1">
      <c r="A35" s="237"/>
      <c r="B35" s="460"/>
      <c r="C35" s="89">
        <v>226</v>
      </c>
      <c r="D35" s="89" t="s">
        <v>19</v>
      </c>
      <c r="E35" s="342" t="s">
        <v>153</v>
      </c>
      <c r="F35" s="90" t="s">
        <v>13</v>
      </c>
      <c r="G35" s="91">
        <v>36</v>
      </c>
      <c r="H35" s="87">
        <f t="shared" si="1"/>
        <v>80.7601</v>
      </c>
      <c r="I35" s="88"/>
      <c r="J35" s="127">
        <v>0</v>
      </c>
      <c r="K35" s="127"/>
      <c r="L35" s="127"/>
      <c r="M35" s="128">
        <v>80.7601</v>
      </c>
      <c r="N35" s="127">
        <v>0</v>
      </c>
      <c r="O35" s="127">
        <v>0</v>
      </c>
      <c r="P35" s="284"/>
      <c r="Q35" s="163"/>
      <c r="R35" s="24"/>
      <c r="S35" s="268"/>
      <c r="T35" s="23"/>
    </row>
    <row r="36" spans="1:20" s="15" customFormat="1" ht="36" customHeight="1">
      <c r="A36" s="237"/>
      <c r="B36" s="460"/>
      <c r="C36" s="332">
        <v>226</v>
      </c>
      <c r="D36" s="332" t="s">
        <v>19</v>
      </c>
      <c r="E36" s="1" t="s">
        <v>154</v>
      </c>
      <c r="F36" s="334" t="s">
        <v>13</v>
      </c>
      <c r="G36" s="20">
        <v>5.5</v>
      </c>
      <c r="H36" s="333">
        <f t="shared" si="1"/>
        <v>20.15861</v>
      </c>
      <c r="I36" s="21"/>
      <c r="J36" s="331">
        <v>0</v>
      </c>
      <c r="K36" s="331"/>
      <c r="L36" s="331"/>
      <c r="M36" s="330">
        <v>20.15861</v>
      </c>
      <c r="N36" s="331">
        <v>0</v>
      </c>
      <c r="O36" s="331">
        <v>0</v>
      </c>
      <c r="P36" s="284"/>
      <c r="Q36" s="163"/>
      <c r="R36" s="24"/>
      <c r="S36" s="268"/>
      <c r="T36" s="23"/>
    </row>
    <row r="37" spans="1:20" s="15" customFormat="1" ht="36" customHeight="1">
      <c r="A37" s="237"/>
      <c r="B37" s="460"/>
      <c r="C37" s="332">
        <v>226</v>
      </c>
      <c r="D37" s="332" t="s">
        <v>19</v>
      </c>
      <c r="E37" s="1" t="s">
        <v>155</v>
      </c>
      <c r="F37" s="334" t="s">
        <v>13</v>
      </c>
      <c r="G37" s="20">
        <v>14.5</v>
      </c>
      <c r="H37" s="333">
        <f t="shared" si="1"/>
        <v>41.92746</v>
      </c>
      <c r="I37" s="21"/>
      <c r="J37" s="331">
        <v>0</v>
      </c>
      <c r="K37" s="331"/>
      <c r="L37" s="331"/>
      <c r="M37" s="330">
        <v>41.92746</v>
      </c>
      <c r="N37" s="331">
        <v>0</v>
      </c>
      <c r="O37" s="331">
        <v>0</v>
      </c>
      <c r="P37" s="284"/>
      <c r="Q37" s="163"/>
      <c r="R37" s="24"/>
      <c r="S37" s="268"/>
      <c r="T37" s="23"/>
    </row>
    <row r="38" spans="1:20" s="15" customFormat="1" ht="36" customHeight="1">
      <c r="A38" s="237"/>
      <c r="B38" s="460"/>
      <c r="C38" s="332">
        <v>226</v>
      </c>
      <c r="D38" s="332" t="s">
        <v>19</v>
      </c>
      <c r="E38" s="1" t="s">
        <v>156</v>
      </c>
      <c r="F38" s="334" t="s">
        <v>13</v>
      </c>
      <c r="G38" s="20">
        <v>19.5</v>
      </c>
      <c r="H38" s="333">
        <f t="shared" si="1"/>
        <v>54.2831</v>
      </c>
      <c r="I38" s="21"/>
      <c r="J38" s="331">
        <v>0</v>
      </c>
      <c r="K38" s="331"/>
      <c r="L38" s="331"/>
      <c r="M38" s="330">
        <v>54.2831</v>
      </c>
      <c r="N38" s="331">
        <v>0</v>
      </c>
      <c r="O38" s="331">
        <v>0</v>
      </c>
      <c r="P38" s="284"/>
      <c r="Q38" s="163"/>
      <c r="R38" s="24"/>
      <c r="S38" s="268"/>
      <c r="T38" s="23"/>
    </row>
    <row r="39" spans="1:20" s="15" customFormat="1" ht="36" customHeight="1">
      <c r="A39" s="237"/>
      <c r="B39" s="460"/>
      <c r="C39" s="332">
        <v>226</v>
      </c>
      <c r="D39" s="332" t="s">
        <v>19</v>
      </c>
      <c r="E39" s="1" t="s">
        <v>157</v>
      </c>
      <c r="F39" s="334" t="s">
        <v>13</v>
      </c>
      <c r="G39" s="20">
        <v>18.75</v>
      </c>
      <c r="H39" s="333">
        <f t="shared" si="1"/>
        <v>18.75</v>
      </c>
      <c r="I39" s="21"/>
      <c r="J39" s="331">
        <v>0</v>
      </c>
      <c r="K39" s="331"/>
      <c r="L39" s="331"/>
      <c r="M39" s="330">
        <v>18.75</v>
      </c>
      <c r="N39" s="331">
        <v>0</v>
      </c>
      <c r="O39" s="331">
        <v>0</v>
      </c>
      <c r="P39" s="284"/>
      <c r="Q39" s="163"/>
      <c r="R39" s="24"/>
      <c r="S39" s="268"/>
      <c r="T39" s="23"/>
    </row>
    <row r="40" spans="1:20" s="15" customFormat="1" ht="36" customHeight="1">
      <c r="A40" s="237"/>
      <c r="B40" s="460"/>
      <c r="C40" s="430">
        <v>226</v>
      </c>
      <c r="D40" s="430" t="s">
        <v>19</v>
      </c>
      <c r="E40" s="431" t="s">
        <v>160</v>
      </c>
      <c r="F40" s="432" t="s">
        <v>13</v>
      </c>
      <c r="G40" s="433">
        <v>6.5</v>
      </c>
      <c r="H40" s="434">
        <f t="shared" si="1"/>
        <v>23.89422</v>
      </c>
      <c r="I40" s="435"/>
      <c r="J40" s="436">
        <v>0</v>
      </c>
      <c r="K40" s="436"/>
      <c r="L40" s="436"/>
      <c r="M40" s="437">
        <v>23.89422</v>
      </c>
      <c r="N40" s="436">
        <v>0</v>
      </c>
      <c r="O40" s="436">
        <v>0</v>
      </c>
      <c r="P40" s="284"/>
      <c r="Q40" s="163"/>
      <c r="R40" s="24"/>
      <c r="S40" s="268"/>
      <c r="T40" s="23"/>
    </row>
    <row r="41" spans="1:20" s="15" customFormat="1" ht="36" customHeight="1">
      <c r="A41" s="237"/>
      <c r="B41" s="460"/>
      <c r="C41" s="430">
        <v>226</v>
      </c>
      <c r="D41" s="430" t="s">
        <v>19</v>
      </c>
      <c r="E41" s="431" t="s">
        <v>161</v>
      </c>
      <c r="F41" s="432" t="s">
        <v>13</v>
      </c>
      <c r="G41" s="433">
        <v>52.15</v>
      </c>
      <c r="H41" s="438">
        <f t="shared" si="1"/>
        <v>160.01179</v>
      </c>
      <c r="I41" s="435"/>
      <c r="J41" s="436">
        <v>0</v>
      </c>
      <c r="K41" s="436"/>
      <c r="L41" s="436"/>
      <c r="M41" s="437">
        <v>160.01179</v>
      </c>
      <c r="N41" s="436">
        <v>0</v>
      </c>
      <c r="O41" s="436">
        <v>0</v>
      </c>
      <c r="P41" s="284"/>
      <c r="Q41" s="163"/>
      <c r="R41" s="24"/>
      <c r="S41" s="268"/>
      <c r="T41" s="23"/>
    </row>
    <row r="42" spans="1:20" s="15" customFormat="1" ht="36" customHeight="1">
      <c r="A42" s="237"/>
      <c r="B42" s="460"/>
      <c r="C42" s="430">
        <v>226</v>
      </c>
      <c r="D42" s="430" t="s">
        <v>19</v>
      </c>
      <c r="E42" s="446" t="s">
        <v>162</v>
      </c>
      <c r="F42" s="432" t="s">
        <v>13</v>
      </c>
      <c r="G42" s="433">
        <v>4.5</v>
      </c>
      <c r="H42" s="434">
        <f aca="true" t="shared" si="2" ref="H42:H62">SUM(J42:O42)</f>
        <v>15.63499</v>
      </c>
      <c r="I42" s="435"/>
      <c r="J42" s="436">
        <v>0</v>
      </c>
      <c r="K42" s="436"/>
      <c r="L42" s="436"/>
      <c r="M42" s="439">
        <v>15.63499</v>
      </c>
      <c r="N42" s="436">
        <v>0</v>
      </c>
      <c r="O42" s="436">
        <v>0</v>
      </c>
      <c r="P42" s="284"/>
      <c r="Q42" s="163"/>
      <c r="R42" s="24"/>
      <c r="S42" s="268"/>
      <c r="T42" s="23"/>
    </row>
    <row r="43" spans="1:20" s="15" customFormat="1" ht="36" customHeight="1">
      <c r="A43" s="237"/>
      <c r="B43" s="460"/>
      <c r="C43" s="430">
        <v>226</v>
      </c>
      <c r="D43" s="430" t="s">
        <v>19</v>
      </c>
      <c r="E43" s="446" t="s">
        <v>163</v>
      </c>
      <c r="F43" s="432" t="s">
        <v>13</v>
      </c>
      <c r="G43" s="433">
        <v>10.54</v>
      </c>
      <c r="H43" s="434">
        <f t="shared" si="2"/>
        <v>30.14845</v>
      </c>
      <c r="I43" s="435"/>
      <c r="J43" s="436">
        <v>0</v>
      </c>
      <c r="K43" s="436"/>
      <c r="L43" s="436"/>
      <c r="M43" s="439">
        <v>30.14845</v>
      </c>
      <c r="N43" s="436">
        <v>0</v>
      </c>
      <c r="O43" s="436">
        <v>0</v>
      </c>
      <c r="P43" s="284"/>
      <c r="Q43" s="163"/>
      <c r="R43" s="24"/>
      <c r="S43" s="268"/>
      <c r="T43" s="23"/>
    </row>
    <row r="44" spans="1:20" s="15" customFormat="1" ht="36" customHeight="1">
      <c r="A44" s="237"/>
      <c r="B44" s="460"/>
      <c r="C44" s="430">
        <v>226</v>
      </c>
      <c r="D44" s="430" t="s">
        <v>19</v>
      </c>
      <c r="E44" s="446" t="s">
        <v>164</v>
      </c>
      <c r="F44" s="432" t="s">
        <v>13</v>
      </c>
      <c r="G44" s="433">
        <v>3.25</v>
      </c>
      <c r="H44" s="434">
        <f t="shared" si="2"/>
        <v>12.37615</v>
      </c>
      <c r="I44" s="435"/>
      <c r="J44" s="436">
        <v>0</v>
      </c>
      <c r="K44" s="436"/>
      <c r="L44" s="436"/>
      <c r="M44" s="439">
        <v>12.37615</v>
      </c>
      <c r="N44" s="436">
        <v>0</v>
      </c>
      <c r="O44" s="436">
        <v>0</v>
      </c>
      <c r="P44" s="284"/>
      <c r="Q44" s="163"/>
      <c r="R44" s="24"/>
      <c r="S44" s="268"/>
      <c r="T44" s="23"/>
    </row>
    <row r="45" spans="1:20" s="15" customFormat="1" ht="36" customHeight="1">
      <c r="A45" s="237"/>
      <c r="B45" s="460"/>
      <c r="C45" s="430">
        <v>226</v>
      </c>
      <c r="D45" s="430" t="s">
        <v>19</v>
      </c>
      <c r="E45" s="446" t="s">
        <v>165</v>
      </c>
      <c r="F45" s="432" t="s">
        <v>13</v>
      </c>
      <c r="G45" s="433">
        <v>1</v>
      </c>
      <c r="H45" s="434">
        <f t="shared" si="2"/>
        <v>4.52222</v>
      </c>
      <c r="I45" s="435"/>
      <c r="J45" s="436">
        <v>0</v>
      </c>
      <c r="K45" s="436"/>
      <c r="L45" s="436"/>
      <c r="M45" s="439">
        <v>4.52222</v>
      </c>
      <c r="N45" s="436">
        <v>0</v>
      </c>
      <c r="O45" s="436">
        <v>0</v>
      </c>
      <c r="P45" s="284"/>
      <c r="Q45" s="163"/>
      <c r="R45" s="24"/>
      <c r="S45" s="268"/>
      <c r="T45" s="23"/>
    </row>
    <row r="46" spans="1:20" s="15" customFormat="1" ht="36" customHeight="1">
      <c r="A46" s="237"/>
      <c r="B46" s="460"/>
      <c r="C46" s="430">
        <v>226</v>
      </c>
      <c r="D46" s="430" t="s">
        <v>19</v>
      </c>
      <c r="E46" s="446" t="s">
        <v>166</v>
      </c>
      <c r="F46" s="432" t="s">
        <v>13</v>
      </c>
      <c r="G46" s="433">
        <v>1</v>
      </c>
      <c r="H46" s="434">
        <f t="shared" si="2"/>
        <v>4.52222</v>
      </c>
      <c r="I46" s="435"/>
      <c r="J46" s="436">
        <v>0</v>
      </c>
      <c r="K46" s="436"/>
      <c r="L46" s="436"/>
      <c r="M46" s="439">
        <v>4.52222</v>
      </c>
      <c r="N46" s="436">
        <v>0</v>
      </c>
      <c r="O46" s="436">
        <v>0</v>
      </c>
      <c r="P46" s="285"/>
      <c r="Q46" s="163"/>
      <c r="R46" s="24"/>
      <c r="S46" s="268"/>
      <c r="T46" s="23"/>
    </row>
    <row r="47" spans="1:20" s="15" customFormat="1" ht="36" customHeight="1">
      <c r="A47" s="237"/>
      <c r="B47" s="460"/>
      <c r="C47" s="430">
        <v>226</v>
      </c>
      <c r="D47" s="430" t="s">
        <v>19</v>
      </c>
      <c r="E47" s="446" t="s">
        <v>167</v>
      </c>
      <c r="F47" s="432" t="s">
        <v>13</v>
      </c>
      <c r="G47" s="433">
        <v>9.75</v>
      </c>
      <c r="H47" s="434">
        <f t="shared" si="2"/>
        <v>33.05309</v>
      </c>
      <c r="I47" s="435"/>
      <c r="J47" s="436">
        <v>0</v>
      </c>
      <c r="K47" s="436"/>
      <c r="L47" s="436"/>
      <c r="M47" s="437">
        <v>33.05309</v>
      </c>
      <c r="N47" s="436">
        <v>0</v>
      </c>
      <c r="O47" s="436">
        <v>0</v>
      </c>
      <c r="P47" s="284"/>
      <c r="Q47" s="163"/>
      <c r="R47" s="24"/>
      <c r="S47" s="268"/>
      <c r="T47" s="23"/>
    </row>
    <row r="48" spans="1:20" s="15" customFormat="1" ht="36" customHeight="1">
      <c r="A48" s="237"/>
      <c r="B48" s="460"/>
      <c r="C48" s="430">
        <v>226</v>
      </c>
      <c r="D48" s="430" t="s">
        <v>19</v>
      </c>
      <c r="E48" s="446" t="s">
        <v>168</v>
      </c>
      <c r="F48" s="432" t="s">
        <v>13</v>
      </c>
      <c r="G48" s="433">
        <v>18.5</v>
      </c>
      <c r="H48" s="434">
        <f t="shared" si="2"/>
        <v>39.48485</v>
      </c>
      <c r="I48" s="435"/>
      <c r="J48" s="436">
        <v>0</v>
      </c>
      <c r="K48" s="436"/>
      <c r="L48" s="436"/>
      <c r="M48" s="440">
        <v>39.48485</v>
      </c>
      <c r="N48" s="436">
        <v>0</v>
      </c>
      <c r="O48" s="436">
        <v>0</v>
      </c>
      <c r="P48" s="284"/>
      <c r="Q48" s="163"/>
      <c r="R48" s="24"/>
      <c r="S48" s="268"/>
      <c r="T48" s="23"/>
    </row>
    <row r="49" spans="1:20" s="15" customFormat="1" ht="36" customHeight="1">
      <c r="A49" s="237"/>
      <c r="B49" s="460"/>
      <c r="C49" s="430">
        <v>226</v>
      </c>
      <c r="D49" s="430" t="s">
        <v>19</v>
      </c>
      <c r="E49" s="446" t="s">
        <v>169</v>
      </c>
      <c r="F49" s="432" t="s">
        <v>13</v>
      </c>
      <c r="G49" s="433">
        <v>0.5</v>
      </c>
      <c r="H49" s="434">
        <f t="shared" si="2"/>
        <v>4.06457</v>
      </c>
      <c r="I49" s="435"/>
      <c r="J49" s="436">
        <v>0</v>
      </c>
      <c r="K49" s="436"/>
      <c r="L49" s="436"/>
      <c r="M49" s="439">
        <v>4.06457</v>
      </c>
      <c r="N49" s="436">
        <v>0</v>
      </c>
      <c r="O49" s="436">
        <v>0</v>
      </c>
      <c r="P49" s="284"/>
      <c r="Q49" s="163"/>
      <c r="R49" s="24"/>
      <c r="S49" s="268"/>
      <c r="T49" s="23"/>
    </row>
    <row r="50" spans="1:34" s="15" customFormat="1" ht="36" customHeight="1">
      <c r="A50" s="237"/>
      <c r="B50" s="460"/>
      <c r="C50" s="430">
        <v>226</v>
      </c>
      <c r="D50" s="430" t="s">
        <v>19</v>
      </c>
      <c r="E50" s="446" t="s">
        <v>170</v>
      </c>
      <c r="F50" s="432" t="s">
        <v>13</v>
      </c>
      <c r="G50" s="433">
        <v>1</v>
      </c>
      <c r="H50" s="434">
        <f t="shared" si="2"/>
        <v>4.52222</v>
      </c>
      <c r="I50" s="435"/>
      <c r="J50" s="436">
        <v>0</v>
      </c>
      <c r="K50" s="436"/>
      <c r="L50" s="436"/>
      <c r="M50" s="439">
        <v>4.52222</v>
      </c>
      <c r="N50" s="436">
        <v>0</v>
      </c>
      <c r="O50" s="436">
        <v>0</v>
      </c>
      <c r="P50" s="284"/>
      <c r="Q50" s="163"/>
      <c r="R50" s="24"/>
      <c r="S50" s="268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1:34" s="15" customFormat="1" ht="36" customHeight="1">
      <c r="A51" s="237"/>
      <c r="B51" s="460"/>
      <c r="C51" s="430">
        <v>226</v>
      </c>
      <c r="D51" s="430" t="s">
        <v>19</v>
      </c>
      <c r="E51" s="446" t="s">
        <v>171</v>
      </c>
      <c r="F51" s="432" t="s">
        <v>13</v>
      </c>
      <c r="G51" s="433">
        <v>12.5</v>
      </c>
      <c r="H51" s="434">
        <f t="shared" si="2"/>
        <v>36.03794</v>
      </c>
      <c r="I51" s="435"/>
      <c r="J51" s="436">
        <v>0</v>
      </c>
      <c r="K51" s="436"/>
      <c r="L51" s="436"/>
      <c r="M51" s="439">
        <v>36.03794</v>
      </c>
      <c r="N51" s="436">
        <v>0</v>
      </c>
      <c r="O51" s="436">
        <v>0</v>
      </c>
      <c r="P51" s="284"/>
      <c r="Q51" s="163"/>
      <c r="R51" s="24"/>
      <c r="S51" s="268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s="15" customFormat="1" ht="36" customHeight="1">
      <c r="A52" s="237"/>
      <c r="B52" s="460"/>
      <c r="C52" s="430">
        <v>226</v>
      </c>
      <c r="D52" s="430" t="s">
        <v>19</v>
      </c>
      <c r="E52" s="431" t="s">
        <v>172</v>
      </c>
      <c r="F52" s="432" t="s">
        <v>13</v>
      </c>
      <c r="G52" s="433">
        <v>31.5</v>
      </c>
      <c r="H52" s="434">
        <f t="shared" si="2"/>
        <v>68.3134</v>
      </c>
      <c r="I52" s="435"/>
      <c r="J52" s="436">
        <v>0</v>
      </c>
      <c r="K52" s="436"/>
      <c r="L52" s="436"/>
      <c r="M52" s="439">
        <v>68.3134</v>
      </c>
      <c r="N52" s="436">
        <v>0</v>
      </c>
      <c r="O52" s="436">
        <v>0</v>
      </c>
      <c r="P52" s="284"/>
      <c r="Q52" s="163"/>
      <c r="R52" s="24"/>
      <c r="S52" s="268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4" s="15" customFormat="1" ht="36" customHeight="1">
      <c r="A53" s="237"/>
      <c r="B53" s="169"/>
      <c r="C53" s="430">
        <v>226</v>
      </c>
      <c r="D53" s="430" t="s">
        <v>19</v>
      </c>
      <c r="E53" s="431" t="s">
        <v>173</v>
      </c>
      <c r="F53" s="432" t="s">
        <v>13</v>
      </c>
      <c r="G53" s="433">
        <v>9.5</v>
      </c>
      <c r="H53" s="434">
        <f t="shared" si="2"/>
        <v>37.46262</v>
      </c>
      <c r="I53" s="435"/>
      <c r="J53" s="436">
        <v>0</v>
      </c>
      <c r="K53" s="436"/>
      <c r="L53" s="436"/>
      <c r="M53" s="439">
        <v>37.46262</v>
      </c>
      <c r="N53" s="436">
        <v>0</v>
      </c>
      <c r="O53" s="436">
        <v>0</v>
      </c>
      <c r="P53" s="284"/>
      <c r="Q53" s="366"/>
      <c r="R53" s="24"/>
      <c r="S53" s="268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20" s="15" customFormat="1" ht="36" customHeight="1">
      <c r="A54" s="237"/>
      <c r="B54" s="169"/>
      <c r="C54" s="430">
        <v>226</v>
      </c>
      <c r="D54" s="430" t="s">
        <v>19</v>
      </c>
      <c r="E54" s="431" t="s">
        <v>174</v>
      </c>
      <c r="F54" s="432" t="s">
        <v>13</v>
      </c>
      <c r="G54" s="433">
        <v>20.25</v>
      </c>
      <c r="H54" s="434">
        <f t="shared" si="2"/>
        <v>45.0337</v>
      </c>
      <c r="I54" s="435"/>
      <c r="J54" s="436">
        <v>0</v>
      </c>
      <c r="K54" s="436"/>
      <c r="L54" s="436"/>
      <c r="M54" s="439">
        <v>45.0337</v>
      </c>
      <c r="N54" s="436">
        <v>0</v>
      </c>
      <c r="O54" s="436">
        <v>0</v>
      </c>
      <c r="P54" s="284"/>
      <c r="Q54" s="163"/>
      <c r="R54" s="24"/>
      <c r="S54" s="268"/>
      <c r="T54" s="23"/>
    </row>
    <row r="55" spans="1:20" s="15" customFormat="1" ht="36" customHeight="1">
      <c r="A55" s="237"/>
      <c r="B55" s="169"/>
      <c r="C55" s="430">
        <v>226</v>
      </c>
      <c r="D55" s="430" t="s">
        <v>19</v>
      </c>
      <c r="E55" s="431" t="s">
        <v>175</v>
      </c>
      <c r="F55" s="432" t="s">
        <v>13</v>
      </c>
      <c r="G55" s="433">
        <v>1</v>
      </c>
      <c r="H55" s="434">
        <f t="shared" si="2"/>
        <v>4.52222</v>
      </c>
      <c r="I55" s="435"/>
      <c r="J55" s="436">
        <v>0</v>
      </c>
      <c r="K55" s="436"/>
      <c r="L55" s="436"/>
      <c r="M55" s="439">
        <v>4.52222</v>
      </c>
      <c r="N55" s="436">
        <v>0</v>
      </c>
      <c r="O55" s="436">
        <v>0</v>
      </c>
      <c r="P55" s="284"/>
      <c r="Q55" s="163"/>
      <c r="R55" s="24"/>
      <c r="S55" s="268"/>
      <c r="T55" s="23"/>
    </row>
    <row r="56" spans="1:20" s="15" customFormat="1" ht="36" customHeight="1">
      <c r="A56" s="237"/>
      <c r="B56" s="169"/>
      <c r="C56" s="430">
        <v>226</v>
      </c>
      <c r="D56" s="430" t="s">
        <v>19</v>
      </c>
      <c r="E56" s="431" t="s">
        <v>176</v>
      </c>
      <c r="F56" s="432" t="s">
        <v>13</v>
      </c>
      <c r="G56" s="433">
        <v>7.75</v>
      </c>
      <c r="H56" s="434">
        <f t="shared" si="2"/>
        <v>27.95282</v>
      </c>
      <c r="I56" s="435"/>
      <c r="J56" s="436">
        <v>0</v>
      </c>
      <c r="K56" s="436"/>
      <c r="L56" s="436"/>
      <c r="M56" s="439">
        <v>27.95282</v>
      </c>
      <c r="N56" s="436">
        <v>0</v>
      </c>
      <c r="O56" s="436">
        <v>0</v>
      </c>
      <c r="P56" s="285"/>
      <c r="Q56" s="163"/>
      <c r="R56" s="24"/>
      <c r="S56" s="268"/>
      <c r="T56" s="23"/>
    </row>
    <row r="57" spans="1:20" s="15" customFormat="1" ht="36" customHeight="1">
      <c r="A57" s="237"/>
      <c r="B57" s="169"/>
      <c r="C57" s="430">
        <v>226</v>
      </c>
      <c r="D57" s="430" t="s">
        <v>19</v>
      </c>
      <c r="E57" s="431" t="s">
        <v>177</v>
      </c>
      <c r="F57" s="432" t="s">
        <v>13</v>
      </c>
      <c r="G57" s="433">
        <v>16.25</v>
      </c>
      <c r="H57" s="434">
        <f t="shared" si="2"/>
        <v>55.35594</v>
      </c>
      <c r="I57" s="435"/>
      <c r="J57" s="436">
        <v>0</v>
      </c>
      <c r="K57" s="436"/>
      <c r="L57" s="436"/>
      <c r="M57" s="439">
        <v>55.35594</v>
      </c>
      <c r="N57" s="436">
        <v>0</v>
      </c>
      <c r="O57" s="436">
        <v>0</v>
      </c>
      <c r="P57" s="285"/>
      <c r="Q57" s="163"/>
      <c r="R57" s="24"/>
      <c r="S57" s="268"/>
      <c r="T57" s="23"/>
    </row>
    <row r="58" spans="1:20" s="15" customFormat="1" ht="36" customHeight="1">
      <c r="A58" s="237"/>
      <c r="B58" s="169"/>
      <c r="C58" s="430">
        <v>226</v>
      </c>
      <c r="D58" s="430" t="s">
        <v>19</v>
      </c>
      <c r="E58" s="431" t="s">
        <v>178</v>
      </c>
      <c r="F58" s="432" t="s">
        <v>13</v>
      </c>
      <c r="G58" s="433">
        <v>5</v>
      </c>
      <c r="H58" s="434">
        <f t="shared" si="2"/>
        <v>21.03919</v>
      </c>
      <c r="I58" s="435"/>
      <c r="J58" s="436">
        <v>0</v>
      </c>
      <c r="K58" s="436"/>
      <c r="L58" s="436"/>
      <c r="M58" s="439">
        <v>21.03919</v>
      </c>
      <c r="N58" s="436">
        <v>0</v>
      </c>
      <c r="O58" s="436">
        <v>0</v>
      </c>
      <c r="P58" s="285"/>
      <c r="Q58" s="163"/>
      <c r="R58" s="24"/>
      <c r="S58" s="268"/>
      <c r="T58" s="23"/>
    </row>
    <row r="59" spans="1:20" s="15" customFormat="1" ht="36" customHeight="1">
      <c r="A59" s="492"/>
      <c r="B59" s="460"/>
      <c r="C59" s="429">
        <v>226</v>
      </c>
      <c r="D59" s="430" t="s">
        <v>19</v>
      </c>
      <c r="E59" s="431" t="s">
        <v>179</v>
      </c>
      <c r="F59" s="441" t="s">
        <v>13</v>
      </c>
      <c r="G59" s="433">
        <v>4</v>
      </c>
      <c r="H59" s="434">
        <f t="shared" si="2"/>
        <v>14.93732</v>
      </c>
      <c r="I59" s="435"/>
      <c r="J59" s="436">
        <v>0</v>
      </c>
      <c r="K59" s="436"/>
      <c r="L59" s="436"/>
      <c r="M59" s="436">
        <v>14.93732</v>
      </c>
      <c r="N59" s="439">
        <v>0</v>
      </c>
      <c r="O59" s="436">
        <v>0</v>
      </c>
      <c r="P59" s="285"/>
      <c r="Q59" s="163"/>
      <c r="R59" s="24"/>
      <c r="S59" s="268"/>
      <c r="T59" s="23"/>
    </row>
    <row r="60" spans="1:20" s="15" customFormat="1" ht="36" customHeight="1">
      <c r="A60" s="492"/>
      <c r="B60" s="460"/>
      <c r="C60" s="429">
        <v>226</v>
      </c>
      <c r="D60" s="430" t="s">
        <v>19</v>
      </c>
      <c r="E60" s="431" t="s">
        <v>180</v>
      </c>
      <c r="F60" s="432" t="s">
        <v>13</v>
      </c>
      <c r="G60" s="433">
        <v>1.5</v>
      </c>
      <c r="H60" s="434">
        <f t="shared" si="2"/>
        <v>5.99412</v>
      </c>
      <c r="I60" s="435"/>
      <c r="J60" s="436">
        <v>0</v>
      </c>
      <c r="K60" s="436"/>
      <c r="L60" s="436"/>
      <c r="M60" s="439">
        <v>5.99412</v>
      </c>
      <c r="N60" s="436">
        <v>0</v>
      </c>
      <c r="O60" s="436">
        <v>0</v>
      </c>
      <c r="P60" s="285"/>
      <c r="Q60" s="358"/>
      <c r="R60" s="24"/>
      <c r="S60" s="268"/>
      <c r="T60" s="23"/>
    </row>
    <row r="61" spans="1:20" s="15" customFormat="1" ht="36" customHeight="1">
      <c r="A61" s="492"/>
      <c r="B61" s="460"/>
      <c r="C61" s="329">
        <v>226</v>
      </c>
      <c r="D61" s="332" t="s">
        <v>19</v>
      </c>
      <c r="E61" s="1" t="s">
        <v>181</v>
      </c>
      <c r="F61" s="334" t="s">
        <v>13</v>
      </c>
      <c r="G61" s="20">
        <v>8</v>
      </c>
      <c r="H61" s="333">
        <f t="shared" si="2"/>
        <v>29.87429</v>
      </c>
      <c r="I61" s="21"/>
      <c r="J61" s="331">
        <v>0</v>
      </c>
      <c r="K61" s="331"/>
      <c r="L61" s="331"/>
      <c r="M61" s="330">
        <v>29.87429</v>
      </c>
      <c r="N61" s="331">
        <v>0</v>
      </c>
      <c r="O61" s="331">
        <v>0</v>
      </c>
      <c r="P61" s="285"/>
      <c r="Q61" s="358"/>
      <c r="R61" s="24"/>
      <c r="S61" s="268"/>
      <c r="T61" s="23"/>
    </row>
    <row r="62" spans="1:20" s="15" customFormat="1" ht="36" customHeight="1">
      <c r="A62" s="492"/>
      <c r="B62" s="460"/>
      <c r="C62" s="329">
        <v>226</v>
      </c>
      <c r="D62" s="332" t="s">
        <v>19</v>
      </c>
      <c r="E62" s="1" t="s">
        <v>182</v>
      </c>
      <c r="F62" s="334" t="s">
        <v>13</v>
      </c>
      <c r="G62" s="20">
        <v>5.5</v>
      </c>
      <c r="H62" s="333">
        <f t="shared" si="2"/>
        <v>20.14256</v>
      </c>
      <c r="I62" s="21"/>
      <c r="J62" s="331">
        <v>0</v>
      </c>
      <c r="K62" s="331"/>
      <c r="L62" s="331"/>
      <c r="M62" s="428">
        <v>20.14256</v>
      </c>
      <c r="N62" s="330">
        <v>0</v>
      </c>
      <c r="O62" s="331">
        <v>0</v>
      </c>
      <c r="P62" s="285"/>
      <c r="Q62" s="358"/>
      <c r="R62" s="24"/>
      <c r="S62" s="268"/>
      <c r="T62" s="23"/>
    </row>
    <row r="63" spans="1:20" s="15" customFormat="1" ht="36" customHeight="1">
      <c r="A63" s="492"/>
      <c r="B63" s="460"/>
      <c r="C63" s="329">
        <v>226</v>
      </c>
      <c r="D63" s="332" t="s">
        <v>19</v>
      </c>
      <c r="E63" s="1" t="s">
        <v>183</v>
      </c>
      <c r="F63" s="334" t="s">
        <v>13</v>
      </c>
      <c r="G63" s="20">
        <v>5.25</v>
      </c>
      <c r="H63" s="333">
        <f aca="true" t="shared" si="3" ref="H63:H68">SUM(J63:O63)</f>
        <v>21.38214</v>
      </c>
      <c r="I63" s="21"/>
      <c r="J63" s="331">
        <v>0</v>
      </c>
      <c r="K63" s="331"/>
      <c r="L63" s="331"/>
      <c r="M63" s="330">
        <v>21.38214</v>
      </c>
      <c r="N63" s="330">
        <v>0</v>
      </c>
      <c r="O63" s="330">
        <v>0</v>
      </c>
      <c r="P63" s="285"/>
      <c r="Q63" s="358"/>
      <c r="R63" s="24"/>
      <c r="S63" s="268"/>
      <c r="T63" s="23"/>
    </row>
    <row r="64" spans="1:20" s="15" customFormat="1" ht="36" customHeight="1">
      <c r="A64" s="492"/>
      <c r="B64" s="460"/>
      <c r="C64" s="329">
        <v>226</v>
      </c>
      <c r="D64" s="332" t="s">
        <v>19</v>
      </c>
      <c r="E64" s="1" t="s">
        <v>184</v>
      </c>
      <c r="F64" s="334" t="s">
        <v>13</v>
      </c>
      <c r="G64" s="20">
        <v>65.55</v>
      </c>
      <c r="H64" s="333">
        <f t="shared" si="3"/>
        <v>148.78921</v>
      </c>
      <c r="I64" s="21"/>
      <c r="J64" s="331">
        <v>0</v>
      </c>
      <c r="K64" s="331"/>
      <c r="L64" s="331"/>
      <c r="M64" s="330">
        <v>148.78921</v>
      </c>
      <c r="N64" s="330">
        <v>0</v>
      </c>
      <c r="O64" s="330">
        <v>0</v>
      </c>
      <c r="P64" s="285"/>
      <c r="Q64" s="358"/>
      <c r="R64" s="24"/>
      <c r="S64" s="268"/>
      <c r="T64" s="23"/>
    </row>
    <row r="65" spans="1:20" s="15" customFormat="1" ht="36" customHeight="1">
      <c r="A65" s="492"/>
      <c r="B65" s="460"/>
      <c r="C65" s="429">
        <v>226</v>
      </c>
      <c r="D65" s="430" t="s">
        <v>19</v>
      </c>
      <c r="E65" s="431" t="s">
        <v>185</v>
      </c>
      <c r="F65" s="432" t="s">
        <v>13</v>
      </c>
      <c r="G65" s="433">
        <v>32.5</v>
      </c>
      <c r="H65" s="434">
        <f t="shared" si="3"/>
        <v>98.86586</v>
      </c>
      <c r="I65" s="435"/>
      <c r="J65" s="436">
        <v>0</v>
      </c>
      <c r="K65" s="436"/>
      <c r="L65" s="436"/>
      <c r="M65" s="439">
        <v>98.86586</v>
      </c>
      <c r="N65" s="439">
        <v>0</v>
      </c>
      <c r="O65" s="439">
        <v>0</v>
      </c>
      <c r="P65" s="285"/>
      <c r="Q65" s="358"/>
      <c r="R65" s="24"/>
      <c r="S65" s="268"/>
      <c r="T65" s="23"/>
    </row>
    <row r="66" spans="1:20" s="15" customFormat="1" ht="36" customHeight="1">
      <c r="A66" s="492"/>
      <c r="B66" s="460"/>
      <c r="C66" s="429">
        <v>226</v>
      </c>
      <c r="D66" s="430" t="s">
        <v>19</v>
      </c>
      <c r="E66" s="431" t="s">
        <v>186</v>
      </c>
      <c r="F66" s="432" t="s">
        <v>13</v>
      </c>
      <c r="G66" s="433">
        <v>1</v>
      </c>
      <c r="H66" s="434">
        <f t="shared" si="3"/>
        <v>4.52222</v>
      </c>
      <c r="I66" s="435"/>
      <c r="J66" s="436">
        <v>0</v>
      </c>
      <c r="K66" s="436"/>
      <c r="L66" s="436"/>
      <c r="M66" s="439">
        <v>4.52222</v>
      </c>
      <c r="N66" s="439">
        <v>0</v>
      </c>
      <c r="O66" s="439">
        <v>0</v>
      </c>
      <c r="P66" s="285"/>
      <c r="Q66" s="358"/>
      <c r="R66" s="24"/>
      <c r="S66" s="268"/>
      <c r="T66" s="23"/>
    </row>
    <row r="67" spans="1:20" s="15" customFormat="1" ht="36" customHeight="1">
      <c r="A67" s="492"/>
      <c r="B67" s="460"/>
      <c r="C67" s="429">
        <v>226</v>
      </c>
      <c r="D67" s="430" t="s">
        <v>19</v>
      </c>
      <c r="E67" s="431" t="s">
        <v>187</v>
      </c>
      <c r="F67" s="432" t="s">
        <v>13</v>
      </c>
      <c r="G67" s="433">
        <v>3.5</v>
      </c>
      <c r="H67" s="434">
        <f t="shared" si="3"/>
        <v>15.042254</v>
      </c>
      <c r="I67" s="435"/>
      <c r="J67" s="436">
        <v>0</v>
      </c>
      <c r="K67" s="436"/>
      <c r="L67" s="436"/>
      <c r="M67" s="439">
        <v>15.042254</v>
      </c>
      <c r="N67" s="439">
        <v>0</v>
      </c>
      <c r="O67" s="439">
        <v>0</v>
      </c>
      <c r="P67" s="285"/>
      <c r="Q67" s="358"/>
      <c r="R67" s="24"/>
      <c r="S67" s="268"/>
      <c r="T67" s="23"/>
    </row>
    <row r="68" spans="1:20" s="15" customFormat="1" ht="36" customHeight="1">
      <c r="A68" s="492"/>
      <c r="B68" s="460"/>
      <c r="C68" s="429">
        <v>226</v>
      </c>
      <c r="D68" s="430" t="s">
        <v>19</v>
      </c>
      <c r="E68" s="431" t="s">
        <v>188</v>
      </c>
      <c r="F68" s="432" t="s">
        <v>13</v>
      </c>
      <c r="G68" s="433">
        <v>22.5</v>
      </c>
      <c r="H68" s="434">
        <f t="shared" si="3"/>
        <v>56.02997</v>
      </c>
      <c r="I68" s="435"/>
      <c r="J68" s="436">
        <v>0</v>
      </c>
      <c r="K68" s="436"/>
      <c r="L68" s="436"/>
      <c r="M68" s="439">
        <v>56.02997</v>
      </c>
      <c r="N68" s="439">
        <v>0</v>
      </c>
      <c r="O68" s="439">
        <v>0</v>
      </c>
      <c r="P68" s="285"/>
      <c r="Q68" s="358"/>
      <c r="R68" s="24"/>
      <c r="S68" s="268"/>
      <c r="T68" s="23"/>
    </row>
    <row r="69" spans="1:20" s="15" customFormat="1" ht="36" customHeight="1">
      <c r="A69" s="492"/>
      <c r="B69" s="460"/>
      <c r="C69" s="429">
        <v>226</v>
      </c>
      <c r="D69" s="430" t="s">
        <v>19</v>
      </c>
      <c r="E69" s="431" t="s">
        <v>189</v>
      </c>
      <c r="F69" s="432" t="s">
        <v>13</v>
      </c>
      <c r="G69" s="433">
        <v>1</v>
      </c>
      <c r="H69" s="434">
        <f aca="true" t="shared" si="4" ref="H69:H82">SUM(J69:O69)</f>
        <v>4.52222</v>
      </c>
      <c r="I69" s="435"/>
      <c r="J69" s="436">
        <v>0</v>
      </c>
      <c r="K69" s="436"/>
      <c r="L69" s="436"/>
      <c r="M69" s="439">
        <v>4.52222</v>
      </c>
      <c r="N69" s="439">
        <v>0</v>
      </c>
      <c r="O69" s="439">
        <v>0</v>
      </c>
      <c r="P69" s="285"/>
      <c r="Q69" s="359"/>
      <c r="R69" s="24"/>
      <c r="S69" s="268"/>
      <c r="T69" s="23"/>
    </row>
    <row r="70" spans="1:20" s="15" customFormat="1" ht="36" customHeight="1">
      <c r="A70" s="492"/>
      <c r="B70" s="460"/>
      <c r="C70" s="429">
        <v>226</v>
      </c>
      <c r="D70" s="430" t="s">
        <v>19</v>
      </c>
      <c r="E70" s="431" t="s">
        <v>190</v>
      </c>
      <c r="F70" s="432" t="s">
        <v>13</v>
      </c>
      <c r="G70" s="433">
        <v>4.5</v>
      </c>
      <c r="H70" s="434">
        <f t="shared" si="4"/>
        <v>15.63499</v>
      </c>
      <c r="I70" s="435"/>
      <c r="J70" s="436">
        <v>0</v>
      </c>
      <c r="K70" s="436"/>
      <c r="L70" s="436"/>
      <c r="M70" s="439">
        <v>15.63499</v>
      </c>
      <c r="N70" s="439">
        <v>0</v>
      </c>
      <c r="O70" s="439">
        <v>0</v>
      </c>
      <c r="P70" s="285"/>
      <c r="Q70" s="359"/>
      <c r="R70" s="24"/>
      <c r="S70" s="268"/>
      <c r="T70" s="23"/>
    </row>
    <row r="71" spans="1:20" s="15" customFormat="1" ht="36" customHeight="1">
      <c r="A71" s="492"/>
      <c r="B71" s="460"/>
      <c r="C71" s="429">
        <v>226</v>
      </c>
      <c r="D71" s="430" t="s">
        <v>19</v>
      </c>
      <c r="E71" s="431" t="s">
        <v>191</v>
      </c>
      <c r="F71" s="432" t="s">
        <v>13</v>
      </c>
      <c r="G71" s="433">
        <v>5.75</v>
      </c>
      <c r="H71" s="442">
        <f t="shared" si="4"/>
        <v>22.84958</v>
      </c>
      <c r="I71" s="435"/>
      <c r="J71" s="436">
        <v>0</v>
      </c>
      <c r="K71" s="436"/>
      <c r="L71" s="436"/>
      <c r="M71" s="436">
        <v>22.84958</v>
      </c>
      <c r="N71" s="439">
        <v>0</v>
      </c>
      <c r="O71" s="439">
        <v>0</v>
      </c>
      <c r="P71" s="286"/>
      <c r="Q71" s="359"/>
      <c r="R71" s="24"/>
      <c r="S71" s="268"/>
      <c r="T71" s="23"/>
    </row>
    <row r="72" spans="1:20" s="15" customFormat="1" ht="36" customHeight="1">
      <c r="A72" s="492"/>
      <c r="B72" s="460"/>
      <c r="C72" s="429">
        <v>226</v>
      </c>
      <c r="D72" s="430" t="s">
        <v>19</v>
      </c>
      <c r="E72" s="431" t="s">
        <v>192</v>
      </c>
      <c r="F72" s="432" t="s">
        <v>13</v>
      </c>
      <c r="G72" s="433">
        <v>2.5</v>
      </c>
      <c r="H72" s="442">
        <f t="shared" si="4"/>
        <v>10.51895</v>
      </c>
      <c r="I72" s="435"/>
      <c r="J72" s="436">
        <v>0</v>
      </c>
      <c r="K72" s="436"/>
      <c r="L72" s="436"/>
      <c r="M72" s="436">
        <v>10.51895</v>
      </c>
      <c r="N72" s="439">
        <v>0</v>
      </c>
      <c r="O72" s="439">
        <v>0</v>
      </c>
      <c r="P72" s="286"/>
      <c r="Q72" s="359"/>
      <c r="R72" s="24"/>
      <c r="S72" s="268"/>
      <c r="T72" s="23"/>
    </row>
    <row r="73" spans="1:20" s="15" customFormat="1" ht="36" customHeight="1">
      <c r="A73" s="492"/>
      <c r="B73" s="460"/>
      <c r="C73" s="429">
        <v>226</v>
      </c>
      <c r="D73" s="430" t="s">
        <v>19</v>
      </c>
      <c r="E73" s="431" t="s">
        <v>193</v>
      </c>
      <c r="F73" s="432" t="s">
        <v>13</v>
      </c>
      <c r="G73" s="433">
        <v>10.5</v>
      </c>
      <c r="H73" s="434">
        <f t="shared" si="4"/>
        <v>41.97035</v>
      </c>
      <c r="I73" s="435"/>
      <c r="J73" s="436">
        <v>0</v>
      </c>
      <c r="K73" s="436"/>
      <c r="L73" s="436"/>
      <c r="M73" s="439">
        <v>41.97035</v>
      </c>
      <c r="N73" s="439">
        <v>0</v>
      </c>
      <c r="O73" s="439">
        <v>0</v>
      </c>
      <c r="P73" s="286"/>
      <c r="Q73" s="359"/>
      <c r="R73" s="24"/>
      <c r="S73" s="268"/>
      <c r="T73" s="23"/>
    </row>
    <row r="74" spans="1:20" s="15" customFormat="1" ht="36" customHeight="1">
      <c r="A74" s="492"/>
      <c r="B74" s="460"/>
      <c r="C74" s="429">
        <v>226</v>
      </c>
      <c r="D74" s="430" t="s">
        <v>19</v>
      </c>
      <c r="E74" s="431" t="s">
        <v>194</v>
      </c>
      <c r="F74" s="432" t="s">
        <v>13</v>
      </c>
      <c r="G74" s="433">
        <v>2</v>
      </c>
      <c r="H74" s="434">
        <f t="shared" si="4"/>
        <v>9.04727</v>
      </c>
      <c r="I74" s="435"/>
      <c r="J74" s="436">
        <v>0</v>
      </c>
      <c r="K74" s="436"/>
      <c r="L74" s="436"/>
      <c r="M74" s="439">
        <v>9.04727</v>
      </c>
      <c r="N74" s="439">
        <v>0</v>
      </c>
      <c r="O74" s="439">
        <v>0</v>
      </c>
      <c r="P74" s="286"/>
      <c r="Q74" s="359"/>
      <c r="R74" s="24"/>
      <c r="S74" s="268"/>
      <c r="T74" s="23"/>
    </row>
    <row r="75" spans="1:20" s="15" customFormat="1" ht="36" customHeight="1">
      <c r="A75" s="492"/>
      <c r="B75" s="460"/>
      <c r="C75" s="429">
        <v>226</v>
      </c>
      <c r="D75" s="430" t="s">
        <v>19</v>
      </c>
      <c r="E75" s="431" t="s">
        <v>195</v>
      </c>
      <c r="F75" s="432" t="s">
        <v>13</v>
      </c>
      <c r="G75" s="433">
        <v>13.75</v>
      </c>
      <c r="H75" s="434">
        <f t="shared" si="4"/>
        <v>45.62326</v>
      </c>
      <c r="I75" s="435"/>
      <c r="J75" s="436">
        <v>0</v>
      </c>
      <c r="K75" s="436"/>
      <c r="L75" s="436"/>
      <c r="M75" s="439">
        <v>45.62326</v>
      </c>
      <c r="N75" s="439">
        <v>0</v>
      </c>
      <c r="O75" s="439">
        <v>0</v>
      </c>
      <c r="P75" s="285"/>
      <c r="Q75" s="359"/>
      <c r="R75" s="24"/>
      <c r="S75" s="268"/>
      <c r="T75" s="23"/>
    </row>
    <row r="76" spans="1:20" s="15" customFormat="1" ht="36" customHeight="1">
      <c r="A76" s="492"/>
      <c r="B76" s="460"/>
      <c r="C76" s="429">
        <v>226</v>
      </c>
      <c r="D76" s="430" t="s">
        <v>19</v>
      </c>
      <c r="E76" s="431" t="s">
        <v>196</v>
      </c>
      <c r="F76" s="432" t="s">
        <v>13</v>
      </c>
      <c r="G76" s="443">
        <v>110.5</v>
      </c>
      <c r="H76" s="434">
        <f t="shared" si="4"/>
        <v>237.64886</v>
      </c>
      <c r="I76" s="435"/>
      <c r="J76" s="436">
        <v>0</v>
      </c>
      <c r="K76" s="436"/>
      <c r="L76" s="436"/>
      <c r="M76" s="439">
        <v>237.64886</v>
      </c>
      <c r="N76" s="439">
        <v>0</v>
      </c>
      <c r="O76" s="439">
        <v>0</v>
      </c>
      <c r="P76" s="285"/>
      <c r="Q76" s="359"/>
      <c r="R76" s="24"/>
      <c r="S76" s="268"/>
      <c r="T76" s="23"/>
    </row>
    <row r="77" spans="1:20" s="15" customFormat="1" ht="36" customHeight="1">
      <c r="A77" s="492"/>
      <c r="B77" s="460"/>
      <c r="C77" s="429">
        <v>226</v>
      </c>
      <c r="D77" s="430" t="s">
        <v>19</v>
      </c>
      <c r="E77" s="431" t="s">
        <v>197</v>
      </c>
      <c r="F77" s="432" t="s">
        <v>13</v>
      </c>
      <c r="G77" s="443">
        <v>3.75</v>
      </c>
      <c r="H77" s="434">
        <f t="shared" si="4"/>
        <v>13.80785</v>
      </c>
      <c r="I77" s="435"/>
      <c r="J77" s="436">
        <v>0</v>
      </c>
      <c r="K77" s="436"/>
      <c r="L77" s="436"/>
      <c r="M77" s="439">
        <v>13.80785</v>
      </c>
      <c r="N77" s="439">
        <v>0</v>
      </c>
      <c r="O77" s="439">
        <v>0</v>
      </c>
      <c r="P77" s="285"/>
      <c r="Q77" s="359"/>
      <c r="R77" s="24"/>
      <c r="S77" s="268"/>
      <c r="T77" s="23"/>
    </row>
    <row r="78" spans="1:20" s="15" customFormat="1" ht="36" customHeight="1">
      <c r="A78" s="492"/>
      <c r="B78" s="460"/>
      <c r="C78" s="429">
        <v>226</v>
      </c>
      <c r="D78" s="430" t="s">
        <v>19</v>
      </c>
      <c r="E78" s="431" t="s">
        <v>198</v>
      </c>
      <c r="F78" s="432" t="s">
        <v>13</v>
      </c>
      <c r="G78" s="443">
        <v>10.5</v>
      </c>
      <c r="H78" s="434">
        <f t="shared" si="4"/>
        <v>38.81347</v>
      </c>
      <c r="I78" s="435"/>
      <c r="J78" s="436">
        <v>0</v>
      </c>
      <c r="K78" s="436"/>
      <c r="L78" s="436"/>
      <c r="M78" s="439">
        <v>38.81347</v>
      </c>
      <c r="N78" s="439">
        <v>0</v>
      </c>
      <c r="O78" s="439">
        <v>0</v>
      </c>
      <c r="P78" s="285"/>
      <c r="Q78" s="359"/>
      <c r="R78" s="24"/>
      <c r="S78" s="268"/>
      <c r="T78" s="23"/>
    </row>
    <row r="79" spans="1:20" s="15" customFormat="1" ht="36" customHeight="1">
      <c r="A79" s="492"/>
      <c r="B79" s="460"/>
      <c r="C79" s="429">
        <v>226</v>
      </c>
      <c r="D79" s="430" t="s">
        <v>19</v>
      </c>
      <c r="E79" s="431" t="s">
        <v>199</v>
      </c>
      <c r="F79" s="432" t="s">
        <v>13</v>
      </c>
      <c r="G79" s="443">
        <v>1</v>
      </c>
      <c r="H79" s="434">
        <f t="shared" si="4"/>
        <v>4.52222</v>
      </c>
      <c r="I79" s="435"/>
      <c r="J79" s="436">
        <v>0</v>
      </c>
      <c r="K79" s="436"/>
      <c r="L79" s="436"/>
      <c r="M79" s="439">
        <v>4.52222</v>
      </c>
      <c r="N79" s="439">
        <v>0</v>
      </c>
      <c r="O79" s="439">
        <v>0</v>
      </c>
      <c r="P79" s="285"/>
      <c r="Q79" s="359"/>
      <c r="R79" s="24"/>
      <c r="S79" s="268"/>
      <c r="T79" s="23"/>
    </row>
    <row r="80" spans="1:20" s="15" customFormat="1" ht="36" customHeight="1">
      <c r="A80" s="492"/>
      <c r="B80" s="460"/>
      <c r="C80" s="429">
        <v>226</v>
      </c>
      <c r="D80" s="430" t="s">
        <v>19</v>
      </c>
      <c r="E80" s="431" t="s">
        <v>200</v>
      </c>
      <c r="F80" s="432" t="s">
        <v>13</v>
      </c>
      <c r="G80" s="443">
        <v>178.25</v>
      </c>
      <c r="H80" s="434">
        <f t="shared" si="4"/>
        <v>393.51688</v>
      </c>
      <c r="I80" s="435"/>
      <c r="J80" s="436">
        <v>0</v>
      </c>
      <c r="K80" s="436"/>
      <c r="L80" s="436"/>
      <c r="M80" s="439">
        <v>393.51688</v>
      </c>
      <c r="N80" s="439">
        <v>0</v>
      </c>
      <c r="O80" s="439">
        <v>0</v>
      </c>
      <c r="P80" s="285"/>
      <c r="Q80" s="359"/>
      <c r="R80" s="24"/>
      <c r="S80" s="268"/>
      <c r="T80" s="23"/>
    </row>
    <row r="81" spans="1:20" s="15" customFormat="1" ht="36" customHeight="1">
      <c r="A81" s="492"/>
      <c r="B81" s="460"/>
      <c r="C81" s="429">
        <v>226</v>
      </c>
      <c r="D81" s="430" t="s">
        <v>19</v>
      </c>
      <c r="E81" s="431" t="s">
        <v>201</v>
      </c>
      <c r="F81" s="432" t="s">
        <v>13</v>
      </c>
      <c r="G81" s="443">
        <v>6.5</v>
      </c>
      <c r="H81" s="434">
        <f t="shared" si="4"/>
        <v>21.51106</v>
      </c>
      <c r="I81" s="435"/>
      <c r="J81" s="436">
        <v>0</v>
      </c>
      <c r="K81" s="436"/>
      <c r="L81" s="436"/>
      <c r="M81" s="439">
        <v>21.51106</v>
      </c>
      <c r="N81" s="439">
        <v>0</v>
      </c>
      <c r="O81" s="439">
        <v>0</v>
      </c>
      <c r="P81" s="285"/>
      <c r="Q81" s="359"/>
      <c r="R81" s="24"/>
      <c r="S81" s="268"/>
      <c r="T81" s="23"/>
    </row>
    <row r="82" spans="1:20" s="15" customFormat="1" ht="36" customHeight="1">
      <c r="A82" s="492"/>
      <c r="B82" s="460"/>
      <c r="C82" s="429">
        <v>226</v>
      </c>
      <c r="D82" s="430" t="s">
        <v>19</v>
      </c>
      <c r="E82" s="431" t="s">
        <v>202</v>
      </c>
      <c r="F82" s="432" t="s">
        <v>13</v>
      </c>
      <c r="G82" s="443">
        <v>42</v>
      </c>
      <c r="H82" s="434">
        <f t="shared" si="4"/>
        <v>28.59314</v>
      </c>
      <c r="I82" s="435"/>
      <c r="J82" s="436">
        <v>0</v>
      </c>
      <c r="K82" s="436"/>
      <c r="L82" s="436"/>
      <c r="M82" s="439">
        <v>28.59314</v>
      </c>
      <c r="N82" s="439">
        <v>0</v>
      </c>
      <c r="O82" s="439">
        <v>0</v>
      </c>
      <c r="P82" s="285"/>
      <c r="Q82" s="359"/>
      <c r="R82" s="24"/>
      <c r="S82" s="268"/>
      <c r="T82" s="23"/>
    </row>
    <row r="83" spans="1:20" s="15" customFormat="1" ht="36">
      <c r="A83" s="492"/>
      <c r="B83" s="460"/>
      <c r="C83" s="401">
        <v>226</v>
      </c>
      <c r="D83" s="402" t="s">
        <v>19</v>
      </c>
      <c r="E83" s="403" t="s">
        <v>104</v>
      </c>
      <c r="F83" s="404" t="s">
        <v>13</v>
      </c>
      <c r="G83" s="405"/>
      <c r="H83" s="406">
        <f aca="true" t="shared" si="5" ref="H83:H88">SUM(J83:O83)</f>
        <v>0</v>
      </c>
      <c r="I83" s="407"/>
      <c r="J83" s="408">
        <v>0</v>
      </c>
      <c r="K83" s="408"/>
      <c r="L83" s="408"/>
      <c r="M83" s="409">
        <v>0</v>
      </c>
      <c r="N83" s="409">
        <v>0</v>
      </c>
      <c r="O83" s="408">
        <v>0</v>
      </c>
      <c r="P83" s="285"/>
      <c r="Q83" s="360"/>
      <c r="R83" s="24"/>
      <c r="S83" s="268"/>
      <c r="T83" s="23"/>
    </row>
    <row r="84" spans="1:20" s="15" customFormat="1" ht="38.25">
      <c r="A84" s="492"/>
      <c r="B84" s="460"/>
      <c r="C84" s="256">
        <v>226</v>
      </c>
      <c r="D84" s="247" t="s">
        <v>19</v>
      </c>
      <c r="E84" s="412" t="s">
        <v>107</v>
      </c>
      <c r="F84" s="248" t="s">
        <v>100</v>
      </c>
      <c r="G84" s="249">
        <f>203</f>
        <v>203</v>
      </c>
      <c r="H84" s="250">
        <f t="shared" si="5"/>
        <v>639.24737</v>
      </c>
      <c r="I84" s="251"/>
      <c r="J84" s="252">
        <v>0</v>
      </c>
      <c r="K84" s="252"/>
      <c r="L84" s="252"/>
      <c r="M84" s="252">
        <v>0</v>
      </c>
      <c r="N84" s="252">
        <f>269.7986+352.52777+8.4605*2</f>
        <v>639.24737</v>
      </c>
      <c r="O84" s="253">
        <v>0</v>
      </c>
      <c r="P84" s="285"/>
      <c r="Q84" s="358"/>
      <c r="R84" s="24"/>
      <c r="S84" s="268"/>
      <c r="T84" s="23"/>
    </row>
    <row r="85" spans="1:20" s="15" customFormat="1" ht="36">
      <c r="A85" s="492"/>
      <c r="B85" s="460"/>
      <c r="C85" s="257">
        <v>226</v>
      </c>
      <c r="D85" s="100" t="s">
        <v>19</v>
      </c>
      <c r="E85" s="413" t="s">
        <v>108</v>
      </c>
      <c r="F85" s="400" t="s">
        <v>101</v>
      </c>
      <c r="G85" s="254">
        <f>82.59+239.25+495.45</f>
        <v>817.29</v>
      </c>
      <c r="H85" s="97">
        <f t="shared" si="5"/>
        <v>5551.487169999999</v>
      </c>
      <c r="I85" s="98"/>
      <c r="J85" s="133">
        <v>0</v>
      </c>
      <c r="K85" s="133"/>
      <c r="L85" s="133"/>
      <c r="M85" s="133">
        <v>0</v>
      </c>
      <c r="N85" s="133">
        <f>1051.2842+143.42497+1472.66988+2773.76196+110.34616</f>
        <v>5551.487169999999</v>
      </c>
      <c r="O85" s="133">
        <v>0</v>
      </c>
      <c r="P85" s="370"/>
      <c r="Q85" s="360"/>
      <c r="R85" s="24"/>
      <c r="S85" s="268"/>
      <c r="T85" s="23"/>
    </row>
    <row r="86" spans="1:20" s="15" customFormat="1" ht="38.25">
      <c r="A86" s="492"/>
      <c r="B86" s="460"/>
      <c r="C86" s="258">
        <v>226</v>
      </c>
      <c r="D86" s="93" t="s">
        <v>19</v>
      </c>
      <c r="E86" s="389" t="s">
        <v>106</v>
      </c>
      <c r="F86" s="94" t="s">
        <v>13</v>
      </c>
      <c r="G86" s="399">
        <f>3.7+971.8+471</f>
        <v>1446.5</v>
      </c>
      <c r="H86" s="95">
        <f t="shared" si="5"/>
        <v>9798.83938</v>
      </c>
      <c r="I86" s="96"/>
      <c r="J86" s="130">
        <v>0</v>
      </c>
      <c r="K86" s="130"/>
      <c r="L86" s="130"/>
      <c r="M86" s="130">
        <v>0</v>
      </c>
      <c r="N86" s="130">
        <f>1001.04584+13.71964+5981.77885+2636.87937+165.41568</f>
        <v>9798.83938</v>
      </c>
      <c r="O86" s="130">
        <v>0</v>
      </c>
      <c r="P86" s="285"/>
      <c r="Q86" s="360"/>
      <c r="R86" s="24"/>
      <c r="S86" s="268"/>
      <c r="T86" s="23"/>
    </row>
    <row r="87" spans="1:20" s="15" customFormat="1" ht="36" customHeight="1">
      <c r="A87" s="492"/>
      <c r="B87" s="460"/>
      <c r="C87" s="392">
        <v>226</v>
      </c>
      <c r="D87" s="392" t="s">
        <v>19</v>
      </c>
      <c r="E87" s="393" t="s">
        <v>109</v>
      </c>
      <c r="F87" s="394" t="s">
        <v>13</v>
      </c>
      <c r="G87" s="395">
        <f>250.5+155.4+139.4</f>
        <v>545.3</v>
      </c>
      <c r="H87" s="396">
        <f t="shared" si="5"/>
        <v>3211.2247757156374</v>
      </c>
      <c r="I87" s="397"/>
      <c r="J87" s="398">
        <v>0</v>
      </c>
      <c r="K87" s="398"/>
      <c r="L87" s="398"/>
      <c r="M87" s="398">
        <v>0</v>
      </c>
      <c r="N87" s="398">
        <f>435.02698+77.2194+348.06026+14.23201+1541.91768+719.167892715637+10.800079*7</f>
        <v>3211.2247757156374</v>
      </c>
      <c r="O87" s="398">
        <v>0</v>
      </c>
      <c r="P87" s="285"/>
      <c r="Q87" s="358"/>
      <c r="R87" s="24"/>
      <c r="S87" s="268"/>
      <c r="T87" s="23"/>
    </row>
    <row r="88" spans="1:20" s="15" customFormat="1" ht="36" customHeight="1" hidden="1">
      <c r="A88" s="492"/>
      <c r="B88" s="460"/>
      <c r="C88" s="329">
        <v>226</v>
      </c>
      <c r="D88" s="332" t="s">
        <v>19</v>
      </c>
      <c r="E88" s="1"/>
      <c r="F88" s="3" t="s">
        <v>13</v>
      </c>
      <c r="G88" s="20"/>
      <c r="H88" s="333">
        <f t="shared" si="5"/>
        <v>0</v>
      </c>
      <c r="I88" s="21"/>
      <c r="J88" s="331">
        <v>0</v>
      </c>
      <c r="K88" s="331"/>
      <c r="L88" s="331"/>
      <c r="M88" s="331">
        <v>0</v>
      </c>
      <c r="N88" s="330">
        <v>0</v>
      </c>
      <c r="O88" s="331">
        <v>0</v>
      </c>
      <c r="P88" s="285"/>
      <c r="Q88" s="358"/>
      <c r="R88" s="24"/>
      <c r="S88" s="268"/>
      <c r="T88" s="23"/>
    </row>
    <row r="89" spans="1:20" s="15" customFormat="1" ht="36" customHeight="1" hidden="1">
      <c r="A89" s="492"/>
      <c r="B89" s="460"/>
      <c r="C89" s="255">
        <v>226</v>
      </c>
      <c r="D89" s="246" t="s">
        <v>19</v>
      </c>
      <c r="E89" s="1"/>
      <c r="F89" s="244" t="s">
        <v>13</v>
      </c>
      <c r="G89" s="20"/>
      <c r="H89" s="22">
        <f>SUM(J89:O89)</f>
        <v>0</v>
      </c>
      <c r="I89" s="21"/>
      <c r="J89" s="171">
        <v>0</v>
      </c>
      <c r="K89" s="171"/>
      <c r="L89" s="171"/>
      <c r="M89" s="171">
        <v>0</v>
      </c>
      <c r="N89" s="171">
        <v>0</v>
      </c>
      <c r="O89" s="171">
        <v>0</v>
      </c>
      <c r="P89" s="285"/>
      <c r="Q89" s="358"/>
      <c r="R89" s="24"/>
      <c r="S89" s="268"/>
      <c r="T89" s="23"/>
    </row>
    <row r="90" spans="1:20" s="15" customFormat="1" ht="103.5">
      <c r="A90" s="492"/>
      <c r="B90" s="485"/>
      <c r="C90" s="318">
        <v>226</v>
      </c>
      <c r="D90" s="319" t="s">
        <v>19</v>
      </c>
      <c r="E90" s="326" t="s">
        <v>69</v>
      </c>
      <c r="F90" s="320" t="s">
        <v>12</v>
      </c>
      <c r="G90" s="321"/>
      <c r="H90" s="322">
        <f>SUM(J90:O90)</f>
        <v>1000</v>
      </c>
      <c r="I90" s="323"/>
      <c r="J90" s="324">
        <v>0</v>
      </c>
      <c r="K90" s="324"/>
      <c r="L90" s="324"/>
      <c r="M90" s="325">
        <v>0</v>
      </c>
      <c r="N90" s="325">
        <v>0</v>
      </c>
      <c r="O90" s="325">
        <v>1000</v>
      </c>
      <c r="P90" s="285"/>
      <c r="Q90" s="358"/>
      <c r="R90" s="24"/>
      <c r="S90" s="268"/>
      <c r="T90" s="23"/>
    </row>
    <row r="91" spans="1:20" s="15" customFormat="1" ht="36">
      <c r="A91" s="193"/>
      <c r="B91" s="25"/>
      <c r="C91" s="255">
        <v>297</v>
      </c>
      <c r="D91" s="18" t="s">
        <v>19</v>
      </c>
      <c r="E91" s="1" t="s">
        <v>205</v>
      </c>
      <c r="F91" s="176"/>
      <c r="G91" s="20"/>
      <c r="H91" s="22">
        <f>SUM(J91:O91)</f>
        <v>1000</v>
      </c>
      <c r="I91" s="21"/>
      <c r="J91" s="327">
        <v>1000</v>
      </c>
      <c r="K91" s="327">
        <v>0</v>
      </c>
      <c r="L91" s="327">
        <v>0</v>
      </c>
      <c r="M91" s="327">
        <v>0</v>
      </c>
      <c r="N91" s="327">
        <v>0</v>
      </c>
      <c r="O91" s="327">
        <v>0</v>
      </c>
      <c r="P91" s="287"/>
      <c r="Q91" s="163"/>
      <c r="R91" s="24"/>
      <c r="S91" s="268"/>
      <c r="T91" s="23"/>
    </row>
    <row r="92" spans="1:20" s="28" customFormat="1" ht="86.25" customHeight="1">
      <c r="A92" s="238">
        <v>2</v>
      </c>
      <c r="B92" s="112" t="s">
        <v>50</v>
      </c>
      <c r="C92" s="259">
        <v>226</v>
      </c>
      <c r="D92" s="102" t="s">
        <v>20</v>
      </c>
      <c r="E92" s="414" t="s">
        <v>105</v>
      </c>
      <c r="F92" s="83" t="s">
        <v>36</v>
      </c>
      <c r="G92" s="349">
        <v>3</v>
      </c>
      <c r="H92" s="340">
        <f>SUM(J92:O92)</f>
        <v>2000</v>
      </c>
      <c r="I92" s="339"/>
      <c r="J92" s="327">
        <v>0</v>
      </c>
      <c r="K92" s="327"/>
      <c r="L92" s="327"/>
      <c r="M92" s="330">
        <v>0</v>
      </c>
      <c r="N92" s="330">
        <v>0</v>
      </c>
      <c r="O92" s="328">
        <v>2000</v>
      </c>
      <c r="P92" s="287"/>
      <c r="Q92" s="163"/>
      <c r="R92" s="24"/>
      <c r="S92" s="268"/>
      <c r="T92" s="157"/>
    </row>
    <row r="93" spans="1:20" s="15" customFormat="1" ht="36">
      <c r="A93" s="462">
        <v>3</v>
      </c>
      <c r="B93" s="459" t="s">
        <v>204</v>
      </c>
      <c r="C93" s="255">
        <v>225</v>
      </c>
      <c r="D93" s="18" t="s">
        <v>19</v>
      </c>
      <c r="E93" s="341" t="s">
        <v>35</v>
      </c>
      <c r="F93" s="18"/>
      <c r="G93" s="191"/>
      <c r="H93" s="22">
        <f>SUM(J93:O93)</f>
        <v>1000</v>
      </c>
      <c r="I93" s="192"/>
      <c r="J93" s="171">
        <v>0</v>
      </c>
      <c r="K93" s="171"/>
      <c r="L93" s="171"/>
      <c r="M93" s="174">
        <v>0</v>
      </c>
      <c r="N93" s="174">
        <v>0</v>
      </c>
      <c r="O93" s="245">
        <v>1000</v>
      </c>
      <c r="P93" s="287"/>
      <c r="Q93" s="361"/>
      <c r="R93" s="24"/>
      <c r="S93" s="268"/>
      <c r="T93" s="23"/>
    </row>
    <row r="94" spans="1:20" s="15" customFormat="1" ht="21.75" customHeight="1" hidden="1">
      <c r="A94" s="463"/>
      <c r="B94" s="460"/>
      <c r="C94" s="515">
        <v>225</v>
      </c>
      <c r="D94" s="484" t="s">
        <v>19</v>
      </c>
      <c r="E94" s="500" t="s">
        <v>65</v>
      </c>
      <c r="F94" s="493"/>
      <c r="G94" s="510"/>
      <c r="H94" s="486">
        <f>SUM(J94:O95)</f>
        <v>0</v>
      </c>
      <c r="I94" s="512"/>
      <c r="J94" s="477">
        <v>0</v>
      </c>
      <c r="K94" s="477"/>
      <c r="L94" s="477"/>
      <c r="M94" s="483">
        <v>0</v>
      </c>
      <c r="N94" s="483">
        <v>0</v>
      </c>
      <c r="O94" s="483">
        <v>0</v>
      </c>
      <c r="P94" s="287"/>
      <c r="Q94" s="361"/>
      <c r="R94" s="24"/>
      <c r="S94" s="268"/>
      <c r="T94" s="23"/>
    </row>
    <row r="95" spans="1:20" s="15" customFormat="1" ht="12.75" customHeight="1" hidden="1">
      <c r="A95" s="463"/>
      <c r="B95" s="460"/>
      <c r="C95" s="515"/>
      <c r="D95" s="484"/>
      <c r="E95" s="500"/>
      <c r="F95" s="494"/>
      <c r="G95" s="511"/>
      <c r="H95" s="486"/>
      <c r="I95" s="512"/>
      <c r="J95" s="477"/>
      <c r="K95" s="477"/>
      <c r="L95" s="477"/>
      <c r="M95" s="483"/>
      <c r="N95" s="483"/>
      <c r="O95" s="483"/>
      <c r="P95" s="287"/>
      <c r="Q95" s="361"/>
      <c r="R95" s="24"/>
      <c r="S95" s="268"/>
      <c r="T95" s="23"/>
    </row>
    <row r="96" spans="1:20" s="15" customFormat="1" ht="36">
      <c r="A96" s="463"/>
      <c r="B96" s="460"/>
      <c r="C96" s="371">
        <v>310</v>
      </c>
      <c r="D96" s="372" t="s">
        <v>19</v>
      </c>
      <c r="E96" s="415" t="s">
        <v>121</v>
      </c>
      <c r="F96" s="373" t="s">
        <v>30</v>
      </c>
      <c r="G96" s="374">
        <f>1+4+4+2+2+4+4</f>
        <v>21</v>
      </c>
      <c r="H96" s="375">
        <f aca="true" t="shared" si="6" ref="H96:H116">SUM(J96:O96)</f>
        <v>707.55</v>
      </c>
      <c r="I96" s="376"/>
      <c r="J96" s="377">
        <v>0</v>
      </c>
      <c r="K96" s="377"/>
      <c r="L96" s="377"/>
      <c r="M96" s="129">
        <v>0</v>
      </c>
      <c r="N96" s="129">
        <f>78.85+18.6+6.15+34.25+157.7+37.2+12.3+362.5</f>
        <v>707.55</v>
      </c>
      <c r="O96" s="129">
        <v>0</v>
      </c>
      <c r="P96" s="287"/>
      <c r="Q96" s="361"/>
      <c r="R96" s="24"/>
      <c r="S96" s="268"/>
      <c r="T96" s="23"/>
    </row>
    <row r="97" spans="1:20" s="15" customFormat="1" ht="36">
      <c r="A97" s="463"/>
      <c r="B97" s="460"/>
      <c r="C97" s="371">
        <v>310</v>
      </c>
      <c r="D97" s="372" t="s">
        <v>19</v>
      </c>
      <c r="E97" s="415" t="s">
        <v>123</v>
      </c>
      <c r="F97" s="378" t="s">
        <v>30</v>
      </c>
      <c r="G97" s="374">
        <f>1+2+2</f>
        <v>5</v>
      </c>
      <c r="H97" s="375">
        <f t="shared" si="6"/>
        <v>156.95</v>
      </c>
      <c r="I97" s="376"/>
      <c r="J97" s="377">
        <v>0</v>
      </c>
      <c r="K97" s="377"/>
      <c r="L97" s="377"/>
      <c r="M97" s="129">
        <v>0</v>
      </c>
      <c r="N97" s="129">
        <f>34.25+97.95+18.6+6.15</f>
        <v>156.95</v>
      </c>
      <c r="O97" s="129">
        <v>0</v>
      </c>
      <c r="P97" s="287"/>
      <c r="Q97" s="361"/>
      <c r="R97" s="24"/>
      <c r="S97" s="268"/>
      <c r="T97" s="23"/>
    </row>
    <row r="98" spans="1:20" s="15" customFormat="1" ht="36">
      <c r="A98" s="463"/>
      <c r="B98" s="460"/>
      <c r="C98" s="371">
        <v>310</v>
      </c>
      <c r="D98" s="372" t="s">
        <v>19</v>
      </c>
      <c r="E98" s="415" t="s">
        <v>122</v>
      </c>
      <c r="F98" s="373" t="s">
        <v>30</v>
      </c>
      <c r="G98" s="374">
        <f>1+7+7+4+4</f>
        <v>23</v>
      </c>
      <c r="H98" s="375">
        <f t="shared" si="6"/>
        <v>759.35</v>
      </c>
      <c r="I98" s="380"/>
      <c r="J98" s="129">
        <v>0</v>
      </c>
      <c r="K98" s="129"/>
      <c r="L98" s="129"/>
      <c r="M98" s="129">
        <v>0</v>
      </c>
      <c r="N98" s="129">
        <f>34.25+275.975+65.1+21.525+362.5</f>
        <v>759.35</v>
      </c>
      <c r="O98" s="129">
        <v>0</v>
      </c>
      <c r="P98" s="287"/>
      <c r="Q98" s="361"/>
      <c r="R98" s="24"/>
      <c r="S98" s="268"/>
      <c r="T98" s="23"/>
    </row>
    <row r="99" spans="1:20" s="15" customFormat="1" ht="36">
      <c r="A99" s="463"/>
      <c r="B99" s="460"/>
      <c r="C99" s="371">
        <v>310</v>
      </c>
      <c r="D99" s="372" t="s">
        <v>19</v>
      </c>
      <c r="E99" s="415" t="s">
        <v>124</v>
      </c>
      <c r="F99" s="378" t="s">
        <v>30</v>
      </c>
      <c r="G99" s="374">
        <f>1+4+4</f>
        <v>9</v>
      </c>
      <c r="H99" s="375">
        <f>SUM(J99:O99)</f>
        <v>279.65000000000003</v>
      </c>
      <c r="I99" s="380"/>
      <c r="J99" s="129">
        <v>0</v>
      </c>
      <c r="K99" s="129"/>
      <c r="L99" s="129"/>
      <c r="M99" s="129">
        <v>0</v>
      </c>
      <c r="N99" s="129">
        <f>34.25+195.9+37.2+12.3</f>
        <v>279.65000000000003</v>
      </c>
      <c r="O99" s="129">
        <v>0</v>
      </c>
      <c r="P99" s="287"/>
      <c r="Q99" s="361"/>
      <c r="R99" s="24"/>
      <c r="S99" s="268"/>
      <c r="T99" s="23"/>
    </row>
    <row r="100" spans="1:20" s="15" customFormat="1" ht="36">
      <c r="A100" s="463"/>
      <c r="B100" s="460"/>
      <c r="C100" s="371">
        <v>310</v>
      </c>
      <c r="D100" s="372" t="s">
        <v>19</v>
      </c>
      <c r="E100" s="415" t="s">
        <v>158</v>
      </c>
      <c r="F100" s="378" t="s">
        <v>159</v>
      </c>
      <c r="G100" s="374">
        <v>1</v>
      </c>
      <c r="H100" s="375">
        <f>SUM(J100:O100)</f>
        <v>39.425</v>
      </c>
      <c r="I100" s="380">
        <f>SUM(I96:I99)</f>
        <v>0</v>
      </c>
      <c r="J100" s="129">
        <v>0</v>
      </c>
      <c r="K100" s="129">
        <f>SUM(K96:K99)</f>
        <v>0</v>
      </c>
      <c r="L100" s="129">
        <f>SUM(L96:L99)</f>
        <v>0</v>
      </c>
      <c r="M100" s="129">
        <v>0</v>
      </c>
      <c r="N100" s="129">
        <v>39.425</v>
      </c>
      <c r="O100" s="129">
        <v>0</v>
      </c>
      <c r="P100" s="287"/>
      <c r="Q100" s="361"/>
      <c r="R100" s="24"/>
      <c r="S100" s="268"/>
      <c r="T100" s="23"/>
    </row>
    <row r="101" spans="1:20" s="15" customFormat="1" ht="48">
      <c r="A101" s="463"/>
      <c r="B101" s="460"/>
      <c r="C101" s="371">
        <v>226</v>
      </c>
      <c r="D101" s="372" t="s">
        <v>19</v>
      </c>
      <c r="E101" s="415" t="s">
        <v>115</v>
      </c>
      <c r="F101" s="373" t="s">
        <v>11</v>
      </c>
      <c r="G101" s="382"/>
      <c r="H101" s="383">
        <f t="shared" si="6"/>
        <v>247.52449000000001</v>
      </c>
      <c r="I101" s="384"/>
      <c r="J101" s="377">
        <v>0</v>
      </c>
      <c r="K101" s="377"/>
      <c r="L101" s="377"/>
      <c r="M101" s="377">
        <f>47.52449+200</f>
        <v>247.52449000000001</v>
      </c>
      <c r="N101" s="377">
        <v>0</v>
      </c>
      <c r="O101" s="377">
        <v>0</v>
      </c>
      <c r="P101" s="287"/>
      <c r="Q101" s="358"/>
      <c r="R101" s="24"/>
      <c r="S101" s="268"/>
      <c r="T101" s="23"/>
    </row>
    <row r="102" spans="1:20" s="15" customFormat="1" ht="42.75" customHeight="1">
      <c r="A102" s="463"/>
      <c r="B102" s="460"/>
      <c r="C102" s="371">
        <v>310</v>
      </c>
      <c r="D102" s="372" t="s">
        <v>19</v>
      </c>
      <c r="E102" s="415" t="s">
        <v>110</v>
      </c>
      <c r="F102" s="373" t="s">
        <v>11</v>
      </c>
      <c r="G102" s="382">
        <v>293</v>
      </c>
      <c r="H102" s="383">
        <f t="shared" si="6"/>
        <v>1115.77682</v>
      </c>
      <c r="I102" s="384"/>
      <c r="J102" s="377">
        <v>0</v>
      </c>
      <c r="K102" s="377"/>
      <c r="L102" s="377"/>
      <c r="M102" s="377">
        <v>0</v>
      </c>
      <c r="N102" s="377">
        <f>1088.19028+27.58654</f>
        <v>1115.77682</v>
      </c>
      <c r="O102" s="377">
        <v>0</v>
      </c>
      <c r="P102" s="287"/>
      <c r="Q102" s="358"/>
      <c r="R102" s="24"/>
      <c r="S102" s="268"/>
      <c r="T102" s="23"/>
    </row>
    <row r="103" spans="1:20" s="15" customFormat="1" ht="36">
      <c r="A103" s="463"/>
      <c r="B103" s="460"/>
      <c r="C103" s="371">
        <v>310</v>
      </c>
      <c r="D103" s="372" t="s">
        <v>19</v>
      </c>
      <c r="E103" s="415" t="s">
        <v>114</v>
      </c>
      <c r="F103" s="373" t="s">
        <v>11</v>
      </c>
      <c r="G103" s="379">
        <v>124</v>
      </c>
      <c r="H103" s="383">
        <f t="shared" si="6"/>
        <v>468.99154000000004</v>
      </c>
      <c r="I103" s="380"/>
      <c r="J103" s="377">
        <v>0</v>
      </c>
      <c r="K103" s="377"/>
      <c r="L103" s="377"/>
      <c r="M103" s="377">
        <v>0</v>
      </c>
      <c r="N103" s="377">
        <f>460.53104+8.4605</f>
        <v>468.99154000000004</v>
      </c>
      <c r="O103" s="377">
        <v>0</v>
      </c>
      <c r="P103" s="284"/>
      <c r="Q103" s="362"/>
      <c r="R103" s="24"/>
      <c r="S103" s="268"/>
      <c r="T103" s="23"/>
    </row>
    <row r="104" spans="1:20" s="15" customFormat="1" ht="36">
      <c r="A104" s="463"/>
      <c r="B104" s="460"/>
      <c r="C104" s="371">
        <v>310</v>
      </c>
      <c r="D104" s="372" t="s">
        <v>19</v>
      </c>
      <c r="E104" s="415" t="s">
        <v>111</v>
      </c>
      <c r="F104" s="373" t="s">
        <v>11</v>
      </c>
      <c r="G104" s="379">
        <v>363</v>
      </c>
      <c r="H104" s="383">
        <f t="shared" si="6"/>
        <v>1387.66442</v>
      </c>
      <c r="I104" s="380"/>
      <c r="J104" s="377">
        <v>0</v>
      </c>
      <c r="K104" s="377"/>
      <c r="L104" s="377"/>
      <c r="M104" s="377">
        <v>0</v>
      </c>
      <c r="N104" s="377">
        <f>1346.3105+41.35392</f>
        <v>1387.66442</v>
      </c>
      <c r="O104" s="377">
        <v>0</v>
      </c>
      <c r="P104" s="284"/>
      <c r="Q104" s="163"/>
      <c r="R104" s="24"/>
      <c r="S104" s="268"/>
      <c r="T104" s="23"/>
    </row>
    <row r="105" spans="1:20" s="15" customFormat="1" ht="36">
      <c r="A105" s="391"/>
      <c r="B105" s="390"/>
      <c r="C105" s="371">
        <v>310</v>
      </c>
      <c r="D105" s="372" t="s">
        <v>19</v>
      </c>
      <c r="E105" s="415" t="s">
        <v>112</v>
      </c>
      <c r="F105" s="373" t="s">
        <v>11</v>
      </c>
      <c r="G105" s="379">
        <v>148</v>
      </c>
      <c r="H105" s="383">
        <f>SUM(J105:O105)</f>
        <v>549.66608</v>
      </c>
      <c r="I105" s="380"/>
      <c r="J105" s="377">
        <v>0</v>
      </c>
      <c r="K105" s="377"/>
      <c r="L105" s="377"/>
      <c r="M105" s="377">
        <v>0</v>
      </c>
      <c r="N105" s="377">
        <v>549.66608</v>
      </c>
      <c r="O105" s="377">
        <v>0</v>
      </c>
      <c r="P105" s="284"/>
      <c r="Q105" s="163"/>
      <c r="R105" s="24"/>
      <c r="S105" s="268"/>
      <c r="T105" s="23"/>
    </row>
    <row r="106" spans="1:20" s="15" customFormat="1" ht="36" hidden="1">
      <c r="A106" s="346"/>
      <c r="B106" s="345"/>
      <c r="C106" s="260">
        <v>226</v>
      </c>
      <c r="D106" s="334" t="s">
        <v>19</v>
      </c>
      <c r="E106" s="1" t="s">
        <v>74</v>
      </c>
      <c r="F106" s="3"/>
      <c r="G106" s="20"/>
      <c r="H106" s="22">
        <f t="shared" si="6"/>
        <v>0</v>
      </c>
      <c r="I106" s="21"/>
      <c r="J106" s="331">
        <v>0</v>
      </c>
      <c r="K106" s="331"/>
      <c r="L106" s="331"/>
      <c r="M106" s="331">
        <v>0</v>
      </c>
      <c r="N106" s="331">
        <v>0</v>
      </c>
      <c r="O106" s="331">
        <v>0</v>
      </c>
      <c r="P106" s="284"/>
      <c r="Q106" s="163"/>
      <c r="R106" s="24"/>
      <c r="S106" s="268"/>
      <c r="T106" s="23"/>
    </row>
    <row r="107" spans="1:20" s="28" customFormat="1" ht="48">
      <c r="A107" s="462">
        <v>4</v>
      </c>
      <c r="B107" s="459" t="s">
        <v>44</v>
      </c>
      <c r="C107" s="260">
        <v>226</v>
      </c>
      <c r="D107" s="176" t="s">
        <v>19</v>
      </c>
      <c r="E107" s="415" t="s">
        <v>113</v>
      </c>
      <c r="F107" s="176" t="s">
        <v>28</v>
      </c>
      <c r="G107" s="20">
        <v>3</v>
      </c>
      <c r="H107" s="170">
        <f t="shared" si="6"/>
        <v>700</v>
      </c>
      <c r="I107" s="21"/>
      <c r="J107" s="174">
        <v>0</v>
      </c>
      <c r="K107" s="144"/>
      <c r="L107" s="144"/>
      <c r="M107" s="174">
        <v>700</v>
      </c>
      <c r="N107" s="129">
        <v>0</v>
      </c>
      <c r="O107" s="134">
        <v>0</v>
      </c>
      <c r="P107" s="287"/>
      <c r="Q107" s="163"/>
      <c r="R107" s="163"/>
      <c r="S107" s="270"/>
      <c r="T107" s="157"/>
    </row>
    <row r="108" spans="1:20" s="28" customFormat="1" ht="36">
      <c r="A108" s="463"/>
      <c r="B108" s="460"/>
      <c r="C108" s="381">
        <v>310</v>
      </c>
      <c r="D108" s="373" t="s">
        <v>19</v>
      </c>
      <c r="E108" s="415" t="s">
        <v>102</v>
      </c>
      <c r="F108" s="378" t="s">
        <v>30</v>
      </c>
      <c r="G108" s="385">
        <v>7</v>
      </c>
      <c r="H108" s="375">
        <f t="shared" si="6"/>
        <v>2961.2000000000003</v>
      </c>
      <c r="I108" s="380"/>
      <c r="J108" s="129">
        <v>0</v>
      </c>
      <c r="K108" s="386"/>
      <c r="L108" s="386"/>
      <c r="M108" s="129">
        <v>0</v>
      </c>
      <c r="N108" s="129">
        <f>564.35+46.95+895.875+736.475+280.85+171.9+264.8</f>
        <v>2961.2000000000003</v>
      </c>
      <c r="O108" s="129">
        <v>0</v>
      </c>
      <c r="P108" s="287"/>
      <c r="Q108" s="163"/>
      <c r="R108" s="163"/>
      <c r="S108" s="270"/>
      <c r="T108" s="157"/>
    </row>
    <row r="109" spans="1:20" s="28" customFormat="1" ht="36">
      <c r="A109" s="463"/>
      <c r="B109" s="461"/>
      <c r="C109" s="381">
        <v>310</v>
      </c>
      <c r="D109" s="373" t="s">
        <v>19</v>
      </c>
      <c r="E109" s="415" t="s">
        <v>125</v>
      </c>
      <c r="F109" s="378" t="s">
        <v>30</v>
      </c>
      <c r="G109" s="385">
        <v>5</v>
      </c>
      <c r="H109" s="375">
        <f t="shared" si="6"/>
        <v>744.6250000000001</v>
      </c>
      <c r="I109" s="380"/>
      <c r="J109" s="129">
        <v>0</v>
      </c>
      <c r="K109" s="129"/>
      <c r="L109" s="387"/>
      <c r="M109" s="129">
        <v>0</v>
      </c>
      <c r="N109" s="129">
        <f>564.35+73.225+34.85+25.25+46.95</f>
        <v>744.6250000000001</v>
      </c>
      <c r="O109" s="129">
        <v>0</v>
      </c>
      <c r="P109" s="287"/>
      <c r="Q109" s="163"/>
      <c r="R109" s="163"/>
      <c r="S109" s="270"/>
      <c r="T109" s="157"/>
    </row>
    <row r="110" spans="1:20" s="28" customFormat="1" ht="36">
      <c r="A110" s="463"/>
      <c r="B110" s="461"/>
      <c r="C110" s="381">
        <v>310</v>
      </c>
      <c r="D110" s="373" t="s">
        <v>19</v>
      </c>
      <c r="E110" s="415" t="s">
        <v>116</v>
      </c>
      <c r="F110" s="378" t="s">
        <v>30</v>
      </c>
      <c r="G110" s="385">
        <v>7</v>
      </c>
      <c r="H110" s="375">
        <f t="shared" si="6"/>
        <v>1331.7749999999999</v>
      </c>
      <c r="I110" s="380"/>
      <c r="J110" s="129">
        <v>0</v>
      </c>
      <c r="K110" s="129"/>
      <c r="L110" s="387"/>
      <c r="M110" s="129">
        <v>0</v>
      </c>
      <c r="N110" s="129">
        <f>648.55+127.05+73.225+110.425+46.95+200.525+125.05</f>
        <v>1331.7749999999999</v>
      </c>
      <c r="O110" s="129">
        <v>0</v>
      </c>
      <c r="P110" s="287"/>
      <c r="Q110" s="163"/>
      <c r="R110" s="163"/>
      <c r="S110" s="270"/>
      <c r="T110" s="157"/>
    </row>
    <row r="111" spans="1:20" s="28" customFormat="1" ht="36">
      <c r="A111" s="463"/>
      <c r="B111" s="461"/>
      <c r="C111" s="381">
        <v>310</v>
      </c>
      <c r="D111" s="373" t="s">
        <v>19</v>
      </c>
      <c r="E111" s="415" t="s">
        <v>103</v>
      </c>
      <c r="F111" s="378" t="s">
        <v>30</v>
      </c>
      <c r="G111" s="385">
        <v>10</v>
      </c>
      <c r="H111" s="375">
        <f>SUM(J111:O111)</f>
        <v>4437.1</v>
      </c>
      <c r="I111" s="380"/>
      <c r="J111" s="129">
        <v>0</v>
      </c>
      <c r="K111" s="129"/>
      <c r="L111" s="387"/>
      <c r="M111" s="129">
        <v>0</v>
      </c>
      <c r="N111" s="129">
        <f>1925.6+442.025+564.35+125.05+187.3+85.75+48.05+294.525+69.825+193.475+501.15</f>
        <v>4437.1</v>
      </c>
      <c r="O111" s="129">
        <v>0</v>
      </c>
      <c r="P111" s="287"/>
      <c r="Q111" s="163"/>
      <c r="R111" s="163"/>
      <c r="S111" s="270"/>
      <c r="T111" s="157"/>
    </row>
    <row r="112" spans="1:20" s="28" customFormat="1" ht="36">
      <c r="A112" s="463"/>
      <c r="B112" s="461"/>
      <c r="C112" s="260">
        <v>226</v>
      </c>
      <c r="D112" s="176" t="s">
        <v>21</v>
      </c>
      <c r="E112" s="42" t="s">
        <v>37</v>
      </c>
      <c r="F112" s="242" t="s">
        <v>76</v>
      </c>
      <c r="G112" s="30"/>
      <c r="H112" s="170">
        <f t="shared" si="6"/>
        <v>100</v>
      </c>
      <c r="I112" s="21"/>
      <c r="J112" s="174">
        <v>0</v>
      </c>
      <c r="K112" s="174"/>
      <c r="L112" s="145"/>
      <c r="M112" s="174">
        <v>0</v>
      </c>
      <c r="N112" s="174">
        <v>100</v>
      </c>
      <c r="O112" s="245">
        <v>0</v>
      </c>
      <c r="P112" s="287"/>
      <c r="Q112" s="163"/>
      <c r="R112" s="163"/>
      <c r="S112" s="270"/>
      <c r="T112" s="157"/>
    </row>
    <row r="113" spans="1:20" s="28" customFormat="1" ht="36">
      <c r="A113" s="463"/>
      <c r="B113" s="461"/>
      <c r="C113" s="261">
        <v>226</v>
      </c>
      <c r="D113" s="176" t="s">
        <v>21</v>
      </c>
      <c r="E113" s="5" t="s">
        <v>75</v>
      </c>
      <c r="F113" s="29" t="s">
        <v>25</v>
      </c>
      <c r="G113" s="30"/>
      <c r="H113" s="170">
        <f t="shared" si="6"/>
        <v>735.902</v>
      </c>
      <c r="I113" s="21"/>
      <c r="J113" s="171">
        <v>0</v>
      </c>
      <c r="K113" s="171"/>
      <c r="L113" s="116"/>
      <c r="M113" s="344">
        <v>0</v>
      </c>
      <c r="N113" s="369">
        <v>735.902</v>
      </c>
      <c r="O113" s="174">
        <v>0</v>
      </c>
      <c r="P113" s="289"/>
      <c r="Q113" s="163"/>
      <c r="R113" s="163"/>
      <c r="S113" s="270"/>
      <c r="T113" s="157"/>
    </row>
    <row r="114" spans="1:20" s="28" customFormat="1" ht="48">
      <c r="A114" s="463"/>
      <c r="B114" s="461"/>
      <c r="C114" s="262">
        <v>226</v>
      </c>
      <c r="D114" s="176" t="s">
        <v>21</v>
      </c>
      <c r="E114" s="410" t="s">
        <v>32</v>
      </c>
      <c r="F114" s="51" t="s">
        <v>29</v>
      </c>
      <c r="G114" s="52"/>
      <c r="H114" s="53">
        <f t="shared" si="6"/>
        <v>3000</v>
      </c>
      <c r="I114" s="49"/>
      <c r="J114" s="146">
        <v>0</v>
      </c>
      <c r="K114" s="146"/>
      <c r="L114" s="147"/>
      <c r="M114" s="148">
        <v>0</v>
      </c>
      <c r="N114" s="129">
        <v>0</v>
      </c>
      <c r="O114" s="129">
        <v>3000</v>
      </c>
      <c r="P114" s="287"/>
      <c r="Q114" s="163"/>
      <c r="R114" s="163"/>
      <c r="S114" s="270"/>
      <c r="T114" s="348"/>
    </row>
    <row r="115" spans="1:20" s="34" customFormat="1" ht="19.5" customHeight="1">
      <c r="A115" s="239"/>
      <c r="B115" s="184" t="s">
        <v>16</v>
      </c>
      <c r="C115" s="263">
        <v>226</v>
      </c>
      <c r="D115" s="18"/>
      <c r="E115" s="416" t="s">
        <v>16</v>
      </c>
      <c r="F115" s="185"/>
      <c r="G115" s="186"/>
      <c r="H115" s="27">
        <f t="shared" si="6"/>
        <v>900</v>
      </c>
      <c r="I115" s="38"/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900</v>
      </c>
      <c r="P115" s="291"/>
      <c r="Q115" s="163"/>
      <c r="R115" s="24"/>
      <c r="S115" s="268"/>
      <c r="T115" s="158"/>
    </row>
    <row r="116" spans="1:20" s="34" customFormat="1" ht="144.75" thickBot="1">
      <c r="A116" s="240">
        <v>6</v>
      </c>
      <c r="B116" s="109" t="s">
        <v>45</v>
      </c>
      <c r="C116" s="264">
        <v>226</v>
      </c>
      <c r="D116" s="48"/>
      <c r="E116" s="110" t="s">
        <v>46</v>
      </c>
      <c r="F116" s="55"/>
      <c r="G116" s="46"/>
      <c r="H116" s="47">
        <f t="shared" si="6"/>
        <v>400</v>
      </c>
      <c r="I116" s="45"/>
      <c r="J116" s="138">
        <v>400</v>
      </c>
      <c r="K116" s="138"/>
      <c r="L116" s="139"/>
      <c r="M116" s="124">
        <v>0</v>
      </c>
      <c r="N116" s="140">
        <v>0</v>
      </c>
      <c r="O116" s="141">
        <v>0</v>
      </c>
      <c r="P116" s="287"/>
      <c r="Q116" s="215"/>
      <c r="R116" s="24"/>
      <c r="S116" s="268"/>
      <c r="T116" s="354"/>
    </row>
    <row r="117" spans="1:20" s="28" customFormat="1" ht="19.5" customHeight="1" thickBot="1">
      <c r="A117" s="209"/>
      <c r="B117" s="210" t="s">
        <v>10</v>
      </c>
      <c r="C117" s="210"/>
      <c r="D117" s="210"/>
      <c r="E117" s="167" t="s">
        <v>64</v>
      </c>
      <c r="F117" s="211"/>
      <c r="G117" s="212"/>
      <c r="H117" s="213">
        <f>SUM(O117+N117+M117+J117)</f>
        <v>1000</v>
      </c>
      <c r="I117" s="214"/>
      <c r="J117" s="213">
        <f>SUM(J91)</f>
        <v>1000</v>
      </c>
      <c r="K117" s="213"/>
      <c r="L117" s="220"/>
      <c r="M117" s="221">
        <f>SUM(M91)</f>
        <v>0</v>
      </c>
      <c r="N117" s="222">
        <f>SUM(N91)</f>
        <v>0</v>
      </c>
      <c r="O117" s="223">
        <f>SUM(O91)</f>
        <v>0</v>
      </c>
      <c r="P117" s="291"/>
      <c r="Q117" s="215"/>
      <c r="R117" s="163"/>
      <c r="S117" s="270"/>
      <c r="T117" s="348"/>
    </row>
    <row r="118" spans="1:20" s="28" customFormat="1" ht="19.5" customHeight="1" thickBot="1">
      <c r="A118" s="209"/>
      <c r="B118" s="210" t="s">
        <v>10</v>
      </c>
      <c r="C118" s="216"/>
      <c r="D118" s="216"/>
      <c r="E118" s="168" t="s">
        <v>63</v>
      </c>
      <c r="F118" s="217"/>
      <c r="G118" s="218"/>
      <c r="H118" s="219">
        <f>SUM(H93:H95)</f>
        <v>1000</v>
      </c>
      <c r="I118" s="206"/>
      <c r="J118" s="219">
        <f>SUM(J93:J95)</f>
        <v>0</v>
      </c>
      <c r="K118" s="219"/>
      <c r="L118" s="224"/>
      <c r="M118" s="225">
        <f>SUM(M93:M95)</f>
        <v>0</v>
      </c>
      <c r="N118" s="226">
        <f>SUM(N93:N95)</f>
        <v>0</v>
      </c>
      <c r="O118" s="227">
        <f>SUM(O93:O95)</f>
        <v>1000</v>
      </c>
      <c r="P118" s="291"/>
      <c r="Q118" s="163"/>
      <c r="R118" s="163"/>
      <c r="S118" s="270"/>
      <c r="T118" s="348"/>
    </row>
    <row r="119" spans="1:20" s="28" customFormat="1" ht="19.5" customHeight="1" thickBot="1">
      <c r="A119" s="209"/>
      <c r="B119" s="210" t="s">
        <v>10</v>
      </c>
      <c r="C119" s="216"/>
      <c r="D119" s="216"/>
      <c r="E119" s="168" t="s">
        <v>26</v>
      </c>
      <c r="F119" s="217"/>
      <c r="G119" s="218"/>
      <c r="H119" s="219">
        <f>SUM(J119:O119)</f>
        <v>31815.321409715638</v>
      </c>
      <c r="I119" s="206"/>
      <c r="J119" s="219">
        <f>SUM(J116+J115+J114+J113+J112+J107+J106+J101+J92+J90+J87+J86+J85+J84+J82+J79+J76+J75+J74+J73+J72+J71+J70+J69+J67+J66+J65+J64+J63+J62+J61+J60+J59+J58+J57+J56+J55+J54+J53+J52+J51+J50+J49+J48+J47+J46+J45+J44+J43+J42+J41+J40+J39+J38+J37+J36+J35+J34+J33+J32+J31+J30+J29+J28+J27+J26+J25+J24+J23+J22+J21+J20+J19+J18+J17+J16+J15+J14+J13+J12+J11)</f>
        <v>400</v>
      </c>
      <c r="K119" s="219"/>
      <c r="L119" s="224"/>
      <c r="M119" s="225">
        <f>SUM(M116+M115+M114+M113+M112+M107+M106+M92+M90+M87+M86+M85+M84+M82+M79+M76+M75+M74+M73+M72+M71+M70+M69+M67+M66+M65+M64+M63+M62+M61+M60+M59+M58+M57+M56+M55+M54+M53+M52+M51+M50+M49+M48+M47+M46+M44+M43+M45+M42+M41+M40+M39+M38+M37+M36+M35+M34+M33+M32+M31+M30+M29+M28+M27+M26+M25+M24+M23+M22+M21+M20+M18++M19+M17+M16+M15+M14+M13+M11+M81+M80+M78+M77+M68+M12+M10+M9+M8+M7+M101)</f>
        <v>4478.620713999999</v>
      </c>
      <c r="N119" s="226">
        <f>SUM(N116+N115+N114+N113+N112+N107+N106+N101+N92+N90+N87+N86+N85+N84+N79+N76+N75+N74+N73+N72+N71+N70+N69+N67+N66+N65+N64+N63+N62+N61+N60+N59+N58+N57+N56+N55+N54+N53+N52+N51+N50+N49+N47+N46+N45+N44+N43+N42+N41+N40+N39+N38+N37+N36+N35+N34+N33+N32+N31+N30+N29+N28+N27+N26+N25+N24+N23+N22+N21+N20+N19+N18+N17+N16+N15+N14+N13+N12+N11)</f>
        <v>20036.700695715637</v>
      </c>
      <c r="O119" s="227">
        <f>SUM(O116+O115+O114+O113+O112+O107+O106+O101+O92+O90+O87+O86+O85+O84+O82+O79+O76+O75+O74+O73+O72+O71+O70+O69+O67+O66+O65+O64+O63+O62+O61+O60+O59+O58+O57+O56+O55+O54+O53+O52+O50+O49+O48+O47+O46+O45+O44+O43+O42+O40+O39+O38+O37+O36+O35+O34+O33+O32+O31+O30+O29+O28+O27+O26+O25+O24+O23+O22+O21+O20+O19+O18+O17+O16+O15+O14+O13+O12+O11)</f>
        <v>6900</v>
      </c>
      <c r="P119" s="291"/>
      <c r="Q119" s="163"/>
      <c r="R119" s="163"/>
      <c r="S119" s="270"/>
      <c r="T119" s="157"/>
    </row>
    <row r="120" spans="1:20" s="28" customFormat="1" ht="19.5" customHeight="1" thickBot="1">
      <c r="A120" s="209"/>
      <c r="B120" s="210" t="s">
        <v>10</v>
      </c>
      <c r="C120" s="216"/>
      <c r="D120" s="216"/>
      <c r="E120" s="167" t="s">
        <v>62</v>
      </c>
      <c r="F120" s="217"/>
      <c r="G120" s="218"/>
      <c r="H120" s="219">
        <f>SUM(J120:O120)</f>
        <v>14939.723859999998</v>
      </c>
      <c r="I120" s="206"/>
      <c r="J120" s="219">
        <f>SUM(J110+J109+J108+J104+J103+J102+J98+J97+J96)</f>
        <v>0</v>
      </c>
      <c r="K120" s="219"/>
      <c r="L120" s="224"/>
      <c r="M120" s="225">
        <f>SUM(M110+M109+M108+M104+M103+M102+M98+M97+M96)</f>
        <v>0</v>
      </c>
      <c r="N120" s="226">
        <f>SUM(N110+N109+N108+N104+N103+N102+N98+N97+N96+N105+N111+N99+N100)</f>
        <v>14939.723859999998</v>
      </c>
      <c r="O120" s="227">
        <f>SUM(O110+O109+O108+O104+O103+O102+O98+O97+O96+O100)</f>
        <v>0</v>
      </c>
      <c r="P120" s="291"/>
      <c r="Q120" s="163"/>
      <c r="R120" s="163"/>
      <c r="S120" s="270"/>
      <c r="T120" s="348"/>
    </row>
    <row r="121" spans="1:20" s="14" customFormat="1" ht="15" customHeight="1" thickBot="1">
      <c r="A121" s="471" t="s">
        <v>57</v>
      </c>
      <c r="B121" s="472"/>
      <c r="C121" s="472"/>
      <c r="D121" s="472"/>
      <c r="E121" s="472"/>
      <c r="F121" s="472"/>
      <c r="G121" s="472"/>
      <c r="H121" s="472"/>
      <c r="I121" s="472"/>
      <c r="J121" s="472"/>
      <c r="K121" s="472"/>
      <c r="L121" s="472"/>
      <c r="M121" s="472"/>
      <c r="N121" s="472"/>
      <c r="O121" s="473"/>
      <c r="P121" s="283"/>
      <c r="Q121" s="215"/>
      <c r="R121" s="24"/>
      <c r="S121" s="267"/>
      <c r="T121" s="155"/>
    </row>
    <row r="122" spans="1:20" s="14" customFormat="1" ht="111" customHeight="1">
      <c r="A122" s="228">
        <v>1</v>
      </c>
      <c r="B122" s="173" t="s">
        <v>51</v>
      </c>
      <c r="C122" s="229">
        <v>226</v>
      </c>
      <c r="D122" s="161" t="s">
        <v>19</v>
      </c>
      <c r="E122" s="230" t="s">
        <v>56</v>
      </c>
      <c r="F122" s="231"/>
      <c r="G122" s="232"/>
      <c r="H122" s="233">
        <f>SUM(J122:O122)</f>
        <v>518.4</v>
      </c>
      <c r="I122" s="234"/>
      <c r="J122" s="162">
        <v>0</v>
      </c>
      <c r="K122" s="162"/>
      <c r="L122" s="162"/>
      <c r="M122" s="235">
        <v>518.4</v>
      </c>
      <c r="N122" s="235">
        <v>0</v>
      </c>
      <c r="O122" s="235">
        <v>0</v>
      </c>
      <c r="P122" s="283"/>
      <c r="Q122" s="215"/>
      <c r="R122" s="24"/>
      <c r="S122" s="267"/>
      <c r="T122" s="155"/>
    </row>
    <row r="123" spans="1:20" ht="36">
      <c r="A123" s="474"/>
      <c r="B123" s="459" t="s">
        <v>52</v>
      </c>
      <c r="C123" s="41">
        <v>226</v>
      </c>
      <c r="D123" s="26" t="s">
        <v>19</v>
      </c>
      <c r="E123" s="5" t="s">
        <v>77</v>
      </c>
      <c r="F123" s="19" t="s">
        <v>13</v>
      </c>
      <c r="G123" s="37">
        <v>7488</v>
      </c>
      <c r="H123" s="22">
        <f>SUM(J123:O123)</f>
        <v>289.42544000000004</v>
      </c>
      <c r="I123" s="21"/>
      <c r="J123" s="107">
        <v>63.27505</v>
      </c>
      <c r="K123" s="107"/>
      <c r="L123" s="116"/>
      <c r="M123" s="106">
        <v>77.6041</v>
      </c>
      <c r="N123" s="106">
        <v>81.17579</v>
      </c>
      <c r="O123" s="106">
        <v>67.3705</v>
      </c>
      <c r="P123" s="285"/>
      <c r="Q123" s="367"/>
      <c r="R123" s="297"/>
      <c r="S123" s="271"/>
      <c r="T123" s="43"/>
    </row>
    <row r="124" spans="1:20" ht="36">
      <c r="A124" s="474"/>
      <c r="B124" s="460"/>
      <c r="C124" s="41">
        <v>226</v>
      </c>
      <c r="D124" s="172" t="s">
        <v>19</v>
      </c>
      <c r="E124" s="5" t="s">
        <v>78</v>
      </c>
      <c r="F124" s="244" t="s">
        <v>13</v>
      </c>
      <c r="G124" s="37">
        <v>8378</v>
      </c>
      <c r="H124" s="22">
        <f aca="true" t="shared" si="7" ref="H124:H131">SUM(J124:O124)</f>
        <v>241.97035</v>
      </c>
      <c r="I124" s="21"/>
      <c r="J124" s="171">
        <v>34.27758</v>
      </c>
      <c r="K124" s="171"/>
      <c r="L124" s="135"/>
      <c r="M124" s="245">
        <v>77.41601</v>
      </c>
      <c r="N124" s="245">
        <v>86.79847</v>
      </c>
      <c r="O124" s="245">
        <v>43.47829</v>
      </c>
      <c r="P124" s="285"/>
      <c r="Q124" s="367"/>
      <c r="R124" s="297"/>
      <c r="S124" s="271"/>
      <c r="T124" s="351"/>
    </row>
    <row r="125" spans="1:20" ht="60">
      <c r="A125" s="474"/>
      <c r="B125" s="460"/>
      <c r="C125" s="41">
        <v>226</v>
      </c>
      <c r="D125" s="172" t="s">
        <v>19</v>
      </c>
      <c r="E125" s="5" t="s">
        <v>79</v>
      </c>
      <c r="F125" s="244" t="s">
        <v>13</v>
      </c>
      <c r="G125" s="37">
        <v>26899</v>
      </c>
      <c r="H125" s="22">
        <f t="shared" si="7"/>
        <v>1466.2475900000002</v>
      </c>
      <c r="I125" s="21"/>
      <c r="J125" s="171">
        <v>400.34845</v>
      </c>
      <c r="K125" s="171"/>
      <c r="L125" s="135"/>
      <c r="M125" s="245">
        <v>339.43353</v>
      </c>
      <c r="N125" s="245">
        <v>330.12117</v>
      </c>
      <c r="O125" s="245">
        <v>396.34444</v>
      </c>
      <c r="P125" s="285"/>
      <c r="Q125" s="367"/>
      <c r="R125" s="297"/>
      <c r="S125" s="271"/>
      <c r="T125" s="43"/>
    </row>
    <row r="126" spans="1:20" ht="36">
      <c r="A126" s="474"/>
      <c r="B126" s="460"/>
      <c r="C126" s="41">
        <v>226</v>
      </c>
      <c r="D126" s="172" t="s">
        <v>19</v>
      </c>
      <c r="E126" s="5" t="s">
        <v>80</v>
      </c>
      <c r="F126" s="244" t="s">
        <v>13</v>
      </c>
      <c r="G126" s="37">
        <v>9445</v>
      </c>
      <c r="H126" s="22">
        <f t="shared" si="7"/>
        <v>489.26288999999997</v>
      </c>
      <c r="I126" s="21"/>
      <c r="J126" s="171">
        <v>129.07295</v>
      </c>
      <c r="K126" s="171"/>
      <c r="L126" s="135"/>
      <c r="M126" s="245">
        <v>116.30397</v>
      </c>
      <c r="N126" s="245">
        <v>114.74798</v>
      </c>
      <c r="O126" s="245">
        <v>129.13799</v>
      </c>
      <c r="P126" s="285"/>
      <c r="Q126" s="367"/>
      <c r="R126" s="297"/>
      <c r="S126" s="271"/>
      <c r="T126" s="43"/>
    </row>
    <row r="127" spans="1:20" ht="36">
      <c r="A127" s="474"/>
      <c r="B127" s="460"/>
      <c r="C127" s="41">
        <v>226</v>
      </c>
      <c r="D127" s="172" t="s">
        <v>19</v>
      </c>
      <c r="E127" s="5" t="s">
        <v>81</v>
      </c>
      <c r="F127" s="244" t="s">
        <v>13</v>
      </c>
      <c r="G127" s="37">
        <v>3347</v>
      </c>
      <c r="H127" s="22">
        <f t="shared" si="7"/>
        <v>175.47951</v>
      </c>
      <c r="I127" s="21"/>
      <c r="J127" s="171">
        <v>48.67885</v>
      </c>
      <c r="K127" s="171"/>
      <c r="L127" s="135"/>
      <c r="M127" s="245">
        <v>40.10792</v>
      </c>
      <c r="N127" s="245">
        <v>38.73052</v>
      </c>
      <c r="O127" s="245">
        <v>47.96222</v>
      </c>
      <c r="P127" s="285"/>
      <c r="Q127" s="367"/>
      <c r="R127" s="297"/>
      <c r="S127" s="271"/>
      <c r="T127" s="43"/>
    </row>
    <row r="128" spans="1:20" ht="36">
      <c r="A128" s="474"/>
      <c r="B128" s="460"/>
      <c r="C128" s="41">
        <v>226</v>
      </c>
      <c r="D128" s="172" t="s">
        <v>19</v>
      </c>
      <c r="E128" s="5" t="s">
        <v>82</v>
      </c>
      <c r="F128" s="244" t="s">
        <v>13</v>
      </c>
      <c r="G128" s="37">
        <v>6724</v>
      </c>
      <c r="H128" s="22">
        <f t="shared" si="7"/>
        <v>239.01019000000002</v>
      </c>
      <c r="I128" s="21"/>
      <c r="J128" s="171">
        <v>47.43522</v>
      </c>
      <c r="K128" s="171"/>
      <c r="L128" s="135"/>
      <c r="M128" s="245">
        <v>67.32941</v>
      </c>
      <c r="N128" s="245">
        <v>71.93376</v>
      </c>
      <c r="O128" s="245">
        <v>52.3118</v>
      </c>
      <c r="P128" s="285"/>
      <c r="Q128" s="367"/>
      <c r="R128" s="297"/>
      <c r="S128" s="271"/>
      <c r="T128" s="43"/>
    </row>
    <row r="129" spans="1:20" ht="36">
      <c r="A129" s="474"/>
      <c r="B129" s="460"/>
      <c r="C129" s="41">
        <v>226</v>
      </c>
      <c r="D129" s="172" t="s">
        <v>19</v>
      </c>
      <c r="E129" s="5" t="s">
        <v>83</v>
      </c>
      <c r="F129" s="244" t="s">
        <v>13</v>
      </c>
      <c r="G129" s="37">
        <v>5012</v>
      </c>
      <c r="H129" s="22">
        <f t="shared" si="7"/>
        <v>340.70722</v>
      </c>
      <c r="I129" s="21"/>
      <c r="J129" s="171">
        <v>106.8633</v>
      </c>
      <c r="K129" s="171"/>
      <c r="L129" s="135"/>
      <c r="M129" s="245">
        <v>69.55944</v>
      </c>
      <c r="N129" s="245">
        <v>62.64339</v>
      </c>
      <c r="O129" s="245">
        <v>101.64109</v>
      </c>
      <c r="P129" s="285"/>
      <c r="Q129" s="367"/>
      <c r="R129" s="297"/>
      <c r="S129" s="271"/>
      <c r="T129" s="43"/>
    </row>
    <row r="130" spans="1:20" ht="36">
      <c r="A130" s="474"/>
      <c r="B130" s="460"/>
      <c r="C130" s="39">
        <v>226</v>
      </c>
      <c r="D130" s="172" t="s">
        <v>19</v>
      </c>
      <c r="E130" s="5" t="s">
        <v>84</v>
      </c>
      <c r="F130" s="29" t="s">
        <v>13</v>
      </c>
      <c r="G130" s="103">
        <v>1354</v>
      </c>
      <c r="H130" s="35">
        <f t="shared" si="7"/>
        <v>73.60007999999999</v>
      </c>
      <c r="I130" s="105"/>
      <c r="J130" s="175">
        <v>20.8683</v>
      </c>
      <c r="K130" s="175"/>
      <c r="L130" s="116"/>
      <c r="M130" s="106">
        <v>16.51838</v>
      </c>
      <c r="N130" s="106">
        <v>15.78566</v>
      </c>
      <c r="O130" s="106">
        <v>20.42774</v>
      </c>
      <c r="P130" s="285"/>
      <c r="Q130" s="367"/>
      <c r="R130" s="297"/>
      <c r="S130" s="271"/>
      <c r="T130" s="43"/>
    </row>
    <row r="131" spans="1:20" ht="48">
      <c r="A131" s="474"/>
      <c r="B131" s="460"/>
      <c r="C131" s="41">
        <v>226</v>
      </c>
      <c r="D131" s="172" t="s">
        <v>19</v>
      </c>
      <c r="E131" s="5" t="s">
        <v>85</v>
      </c>
      <c r="F131" s="244" t="s">
        <v>13</v>
      </c>
      <c r="G131" s="37">
        <v>5121</v>
      </c>
      <c r="H131" s="22">
        <f t="shared" si="7"/>
        <v>165.56262</v>
      </c>
      <c r="I131" s="21"/>
      <c r="J131" s="171">
        <v>28.57355</v>
      </c>
      <c r="K131" s="171"/>
      <c r="L131" s="135"/>
      <c r="M131" s="245">
        <v>49.52358</v>
      </c>
      <c r="N131" s="245">
        <v>54.18476</v>
      </c>
      <c r="O131" s="245">
        <v>33.28073</v>
      </c>
      <c r="P131" s="285"/>
      <c r="Q131" s="367"/>
      <c r="R131" s="297"/>
      <c r="S131" s="271"/>
      <c r="T131" s="43"/>
    </row>
    <row r="132" spans="1:20" ht="48">
      <c r="A132" s="474"/>
      <c r="B132" s="460"/>
      <c r="C132" s="41">
        <v>226</v>
      </c>
      <c r="D132" s="26" t="s">
        <v>19</v>
      </c>
      <c r="E132" s="5" t="s">
        <v>86</v>
      </c>
      <c r="F132" s="19" t="s">
        <v>13</v>
      </c>
      <c r="G132" s="37">
        <v>2989</v>
      </c>
      <c r="H132" s="22">
        <f aca="true" t="shared" si="8" ref="H132:H144">SUM(J132:O132)</f>
        <v>104.4596</v>
      </c>
      <c r="I132" s="21"/>
      <c r="J132" s="4">
        <v>20.19655</v>
      </c>
      <c r="K132" s="4"/>
      <c r="L132" s="135"/>
      <c r="M132" s="84">
        <v>29.78655</v>
      </c>
      <c r="N132" s="84">
        <v>31.98267</v>
      </c>
      <c r="O132" s="84">
        <v>22.49383</v>
      </c>
      <c r="P132" s="285"/>
      <c r="Q132" s="367"/>
      <c r="R132" s="297"/>
      <c r="S132" s="271"/>
      <c r="T132" s="44"/>
    </row>
    <row r="133" spans="1:20" ht="48">
      <c r="A133" s="474"/>
      <c r="B133" s="460"/>
      <c r="C133" s="41">
        <v>226</v>
      </c>
      <c r="D133" s="26" t="s">
        <v>19</v>
      </c>
      <c r="E133" s="5" t="s">
        <v>87</v>
      </c>
      <c r="F133" s="19" t="s">
        <v>13</v>
      </c>
      <c r="G133" s="37">
        <v>5571</v>
      </c>
      <c r="H133" s="22">
        <f t="shared" si="8"/>
        <v>208.08926</v>
      </c>
      <c r="I133" s="21"/>
      <c r="J133" s="4">
        <v>42.98075</v>
      </c>
      <c r="K133" s="4"/>
      <c r="L133" s="135"/>
      <c r="M133" s="84">
        <v>57.48652</v>
      </c>
      <c r="N133" s="84">
        <v>60.91739</v>
      </c>
      <c r="O133" s="84">
        <v>46.7046</v>
      </c>
      <c r="P133" s="285"/>
      <c r="Q133" s="367"/>
      <c r="R133" s="297"/>
      <c r="S133" s="271"/>
      <c r="T133" s="43"/>
    </row>
    <row r="134" spans="1:20" ht="48">
      <c r="A134" s="474"/>
      <c r="B134" s="460"/>
      <c r="C134" s="41">
        <v>226</v>
      </c>
      <c r="D134" s="172" t="s">
        <v>19</v>
      </c>
      <c r="E134" s="5" t="s">
        <v>88</v>
      </c>
      <c r="F134" s="244" t="s">
        <v>13</v>
      </c>
      <c r="G134" s="37">
        <v>2178</v>
      </c>
      <c r="H134" s="22">
        <f t="shared" si="8"/>
        <v>146.82927</v>
      </c>
      <c r="I134" s="21"/>
      <c r="J134" s="171">
        <v>43.98678</v>
      </c>
      <c r="K134" s="171"/>
      <c r="L134" s="135"/>
      <c r="M134" s="245">
        <v>31.36799</v>
      </c>
      <c r="N134" s="245">
        <v>29.09725</v>
      </c>
      <c r="O134" s="245">
        <v>42.37725</v>
      </c>
      <c r="P134" s="285"/>
      <c r="Q134" s="367"/>
      <c r="R134" s="297"/>
      <c r="S134" s="271"/>
      <c r="T134" s="43"/>
    </row>
    <row r="135" spans="1:20" ht="36">
      <c r="A135" s="474"/>
      <c r="B135" s="460"/>
      <c r="C135" s="41">
        <v>226</v>
      </c>
      <c r="D135" s="26" t="s">
        <v>19</v>
      </c>
      <c r="E135" s="5" t="s">
        <v>89</v>
      </c>
      <c r="F135" s="19" t="s">
        <v>13</v>
      </c>
      <c r="G135" s="37">
        <v>5787</v>
      </c>
      <c r="H135" s="22">
        <f t="shared" si="8"/>
        <v>298.48245</v>
      </c>
      <c r="I135" s="21"/>
      <c r="J135" s="4">
        <v>78.786</v>
      </c>
      <c r="K135" s="4"/>
      <c r="L135" s="135"/>
      <c r="M135" s="84">
        <v>70.92408</v>
      </c>
      <c r="N135" s="84">
        <v>69.96004</v>
      </c>
      <c r="O135" s="84">
        <v>78.81233</v>
      </c>
      <c r="P135" s="285"/>
      <c r="Q135" s="367"/>
      <c r="R135" s="297"/>
      <c r="S135" s="271"/>
      <c r="T135" s="43"/>
    </row>
    <row r="136" spans="1:20" ht="48">
      <c r="A136" s="474"/>
      <c r="B136" s="460"/>
      <c r="C136" s="41">
        <v>226</v>
      </c>
      <c r="D136" s="26" t="s">
        <v>19</v>
      </c>
      <c r="E136" s="5" t="s">
        <v>90</v>
      </c>
      <c r="F136" s="19" t="s">
        <v>13</v>
      </c>
      <c r="G136" s="37">
        <v>5407</v>
      </c>
      <c r="H136" s="22">
        <f t="shared" si="8"/>
        <v>340.17891999999995</v>
      </c>
      <c r="I136" s="21"/>
      <c r="J136" s="4">
        <v>99.03222</v>
      </c>
      <c r="K136" s="4"/>
      <c r="L136" s="135"/>
      <c r="M136" s="84">
        <v>74.61163</v>
      </c>
      <c r="N136" s="84">
        <v>70.33916</v>
      </c>
      <c r="O136" s="84">
        <v>96.19591</v>
      </c>
      <c r="P136" s="285"/>
      <c r="Q136" s="367"/>
      <c r="R136" s="297"/>
      <c r="S136" s="271"/>
      <c r="T136" s="43"/>
    </row>
    <row r="137" spans="1:20" ht="48">
      <c r="A137" s="474"/>
      <c r="B137" s="460"/>
      <c r="C137" s="41">
        <v>226</v>
      </c>
      <c r="D137" s="172" t="s">
        <v>19</v>
      </c>
      <c r="E137" s="5" t="s">
        <v>91</v>
      </c>
      <c r="F137" s="244" t="s">
        <v>13</v>
      </c>
      <c r="G137" s="37">
        <v>3326</v>
      </c>
      <c r="H137" s="22">
        <f t="shared" si="8"/>
        <v>150.28445</v>
      </c>
      <c r="I137" s="21"/>
      <c r="J137" s="171">
        <v>37.20925</v>
      </c>
      <c r="K137" s="171"/>
      <c r="L137" s="135"/>
      <c r="M137" s="245">
        <v>37.36531</v>
      </c>
      <c r="N137" s="245">
        <v>37.72457</v>
      </c>
      <c r="O137" s="245">
        <v>37.98532</v>
      </c>
      <c r="P137" s="285"/>
      <c r="Q137" s="367"/>
      <c r="R137" s="297"/>
      <c r="S137" s="271"/>
      <c r="T137" s="43"/>
    </row>
    <row r="138" spans="1:20" ht="48">
      <c r="A138" s="474"/>
      <c r="B138" s="460"/>
      <c r="C138" s="41">
        <v>226</v>
      </c>
      <c r="D138" s="172" t="s">
        <v>19</v>
      </c>
      <c r="E138" s="5" t="s">
        <v>92</v>
      </c>
      <c r="F138" s="244" t="s">
        <v>13</v>
      </c>
      <c r="G138" s="37">
        <v>3335</v>
      </c>
      <c r="H138" s="22">
        <f t="shared" si="8"/>
        <v>115.21602000000001</v>
      </c>
      <c r="I138" s="21"/>
      <c r="J138" s="171">
        <v>21.99745</v>
      </c>
      <c r="K138" s="171"/>
      <c r="L138" s="135"/>
      <c r="M138" s="245">
        <v>33.0414</v>
      </c>
      <c r="N138" s="245">
        <v>35.5594</v>
      </c>
      <c r="O138" s="245">
        <v>24.61777</v>
      </c>
      <c r="P138" s="285"/>
      <c r="Q138" s="367"/>
      <c r="R138" s="297"/>
      <c r="S138" s="271"/>
      <c r="T138" s="43"/>
    </row>
    <row r="139" spans="1:20" ht="60">
      <c r="A139" s="474"/>
      <c r="B139" s="460"/>
      <c r="C139" s="41">
        <v>226</v>
      </c>
      <c r="D139" s="26" t="s">
        <v>19</v>
      </c>
      <c r="E139" s="5" t="s">
        <v>93</v>
      </c>
      <c r="F139" s="19" t="s">
        <v>13</v>
      </c>
      <c r="G139" s="37">
        <v>3495</v>
      </c>
      <c r="H139" s="22">
        <f t="shared" si="8"/>
        <v>141.09285</v>
      </c>
      <c r="I139" s="21"/>
      <c r="J139" s="4">
        <v>32.23045</v>
      </c>
      <c r="K139" s="4"/>
      <c r="L139" s="135"/>
      <c r="M139" s="84">
        <v>36.89958</v>
      </c>
      <c r="N139" s="84">
        <v>38.16528</v>
      </c>
      <c r="O139" s="84">
        <v>33.79754</v>
      </c>
      <c r="P139" s="285"/>
      <c r="Q139" s="367"/>
      <c r="R139" s="297"/>
      <c r="S139" s="271"/>
      <c r="T139" s="43"/>
    </row>
    <row r="140" spans="1:20" ht="60">
      <c r="A140" s="474"/>
      <c r="B140" s="460"/>
      <c r="C140" s="41">
        <v>226</v>
      </c>
      <c r="D140" s="26" t="s">
        <v>19</v>
      </c>
      <c r="E140" s="5" t="s">
        <v>94</v>
      </c>
      <c r="F140" s="19" t="s">
        <v>13</v>
      </c>
      <c r="G140" s="37">
        <v>4323</v>
      </c>
      <c r="H140" s="22">
        <f t="shared" si="8"/>
        <v>146.78774</v>
      </c>
      <c r="I140" s="21"/>
      <c r="J140" s="4">
        <v>27.18575</v>
      </c>
      <c r="K140" s="4"/>
      <c r="L140" s="135"/>
      <c r="M140" s="84">
        <v>42.66058</v>
      </c>
      <c r="N140" s="84">
        <v>46.15691</v>
      </c>
      <c r="O140" s="84">
        <v>30.7845</v>
      </c>
      <c r="P140" s="285"/>
      <c r="Q140" s="367"/>
      <c r="R140" s="297"/>
      <c r="S140" s="271"/>
      <c r="T140" s="43"/>
    </row>
    <row r="141" spans="1:20" ht="48">
      <c r="A141" s="474"/>
      <c r="B141" s="460"/>
      <c r="C141" s="41">
        <v>226</v>
      </c>
      <c r="D141" s="26" t="s">
        <v>19</v>
      </c>
      <c r="E141" s="5" t="s">
        <v>95</v>
      </c>
      <c r="F141" s="19" t="s">
        <v>13</v>
      </c>
      <c r="G141" s="37">
        <v>1325</v>
      </c>
      <c r="H141" s="22">
        <f t="shared" si="8"/>
        <v>208.35972999999996</v>
      </c>
      <c r="I141" s="21"/>
      <c r="J141" s="4">
        <v>71.29405</v>
      </c>
      <c r="K141" s="4"/>
      <c r="L141" s="135"/>
      <c r="M141" s="84">
        <v>38.53937</v>
      </c>
      <c r="N141" s="84">
        <v>32.26903</v>
      </c>
      <c r="O141" s="84">
        <v>66.25728</v>
      </c>
      <c r="P141" s="285"/>
      <c r="Q141" s="367"/>
      <c r="R141" s="297"/>
      <c r="S141" s="271"/>
      <c r="T141" s="43"/>
    </row>
    <row r="142" spans="1:20" ht="36">
      <c r="A142" s="474"/>
      <c r="B142" s="460"/>
      <c r="C142" s="41">
        <v>226</v>
      </c>
      <c r="D142" s="172" t="s">
        <v>19</v>
      </c>
      <c r="E142" s="5" t="s">
        <v>96</v>
      </c>
      <c r="F142" s="244" t="s">
        <v>13</v>
      </c>
      <c r="G142" s="37">
        <v>6679</v>
      </c>
      <c r="H142" s="22">
        <f t="shared" si="8"/>
        <v>244.14479</v>
      </c>
      <c r="I142" s="21"/>
      <c r="J142" s="171">
        <v>48.63078</v>
      </c>
      <c r="K142" s="171"/>
      <c r="L142" s="135"/>
      <c r="M142" s="245">
        <v>68.65701</v>
      </c>
      <c r="N142" s="245">
        <v>73.29964</v>
      </c>
      <c r="O142" s="245">
        <v>53.55736</v>
      </c>
      <c r="P142" s="285"/>
      <c r="Q142" s="367"/>
      <c r="R142" s="297"/>
      <c r="S142" s="271"/>
      <c r="T142" s="43"/>
    </row>
    <row r="143" spans="1:20" ht="36">
      <c r="A143" s="474"/>
      <c r="B143" s="460"/>
      <c r="C143" s="41">
        <v>226</v>
      </c>
      <c r="D143" s="26" t="s">
        <v>19</v>
      </c>
      <c r="E143" s="5" t="s">
        <v>97</v>
      </c>
      <c r="F143" s="19" t="s">
        <v>13</v>
      </c>
      <c r="G143" s="37">
        <v>2236</v>
      </c>
      <c r="H143" s="22">
        <f t="shared" si="8"/>
        <v>81.58941</v>
      </c>
      <c r="I143" s="21"/>
      <c r="J143" s="4">
        <v>16.551</v>
      </c>
      <c r="K143" s="4"/>
      <c r="L143" s="135"/>
      <c r="M143" s="84">
        <v>22.7426</v>
      </c>
      <c r="N143" s="84">
        <v>24.19128</v>
      </c>
      <c r="O143" s="84">
        <v>18.10453</v>
      </c>
      <c r="P143" s="285"/>
      <c r="Q143" s="367"/>
      <c r="R143" s="297"/>
      <c r="S143" s="271"/>
      <c r="T143" s="44"/>
    </row>
    <row r="144" spans="1:20" ht="36">
      <c r="A144" s="474"/>
      <c r="B144" s="460"/>
      <c r="C144" s="113">
        <v>226</v>
      </c>
      <c r="D144" s="18" t="s">
        <v>19</v>
      </c>
      <c r="E144" s="1" t="s">
        <v>41</v>
      </c>
      <c r="F144" s="32" t="s">
        <v>13</v>
      </c>
      <c r="G144" s="115">
        <v>5711</v>
      </c>
      <c r="H144" s="22">
        <f t="shared" si="8"/>
        <v>369.96454</v>
      </c>
      <c r="I144" s="114"/>
      <c r="J144" s="131">
        <v>114.53022</v>
      </c>
      <c r="K144" s="131"/>
      <c r="L144" s="136"/>
      <c r="M144" s="132">
        <v>76.54893</v>
      </c>
      <c r="N144" s="132">
        <v>69.55752</v>
      </c>
      <c r="O144" s="132">
        <v>109.32787</v>
      </c>
      <c r="P144" s="290"/>
      <c r="Q144" s="368"/>
      <c r="R144" s="24"/>
      <c r="S144" s="266"/>
      <c r="T144" s="43"/>
    </row>
    <row r="145" spans="1:21" ht="36">
      <c r="A145" s="317"/>
      <c r="B145" s="460"/>
      <c r="C145" s="113">
        <v>226</v>
      </c>
      <c r="D145" s="246" t="s">
        <v>19</v>
      </c>
      <c r="E145" s="1" t="s">
        <v>66</v>
      </c>
      <c r="F145" s="32" t="s">
        <v>13</v>
      </c>
      <c r="G145" s="115">
        <v>2341</v>
      </c>
      <c r="H145" s="22">
        <f aca="true" t="shared" si="9" ref="H145:H151">SUM(J145:O145)</f>
        <v>101.71584</v>
      </c>
      <c r="I145" s="114"/>
      <c r="J145" s="131">
        <v>24.86755</v>
      </c>
      <c r="K145" s="131"/>
      <c r="L145" s="136"/>
      <c r="M145" s="132">
        <v>25.50272</v>
      </c>
      <c r="N145" s="132">
        <v>25.85458</v>
      </c>
      <c r="O145" s="132">
        <v>25.49099</v>
      </c>
      <c r="P145" s="290"/>
      <c r="Q145" s="368"/>
      <c r="R145" s="24"/>
      <c r="S145" s="266"/>
      <c r="T145" s="43"/>
      <c r="U145" s="43"/>
    </row>
    <row r="146" spans="1:21" ht="36">
      <c r="A146" s="317"/>
      <c r="B146" s="460"/>
      <c r="C146" s="113">
        <v>226</v>
      </c>
      <c r="D146" s="246" t="s">
        <v>19</v>
      </c>
      <c r="E146" s="1" t="s">
        <v>67</v>
      </c>
      <c r="F146" s="32" t="s">
        <v>13</v>
      </c>
      <c r="G146" s="115">
        <v>7647</v>
      </c>
      <c r="H146" s="22">
        <f t="shared" si="9"/>
        <v>361.41983</v>
      </c>
      <c r="I146" s="114"/>
      <c r="J146" s="131">
        <v>93.03282</v>
      </c>
      <c r="K146" s="131"/>
      <c r="L146" s="136"/>
      <c r="M146" s="132">
        <v>87.47157</v>
      </c>
      <c r="N146" s="132">
        <v>87.11685</v>
      </c>
      <c r="O146" s="132">
        <v>93.79859</v>
      </c>
      <c r="P146" s="290"/>
      <c r="Q146" s="368"/>
      <c r="R146" s="352"/>
      <c r="S146" s="353"/>
      <c r="T146" s="352"/>
      <c r="U146" s="352"/>
    </row>
    <row r="147" spans="1:21" ht="36">
      <c r="A147" s="317"/>
      <c r="B147" s="485"/>
      <c r="C147" s="113">
        <v>226</v>
      </c>
      <c r="D147" s="246" t="s">
        <v>19</v>
      </c>
      <c r="E147" s="1" t="s">
        <v>68</v>
      </c>
      <c r="F147" s="32" t="s">
        <v>13</v>
      </c>
      <c r="G147" s="115">
        <v>7563</v>
      </c>
      <c r="H147" s="22">
        <f t="shared" si="9"/>
        <v>566.76015</v>
      </c>
      <c r="I147" s="114"/>
      <c r="J147" s="131">
        <v>181.57068</v>
      </c>
      <c r="K147" s="131"/>
      <c r="L147" s="136"/>
      <c r="M147" s="132">
        <v>113.14908</v>
      </c>
      <c r="N147" s="132">
        <v>100.33725</v>
      </c>
      <c r="O147" s="132">
        <v>171.70314</v>
      </c>
      <c r="P147" s="290"/>
      <c r="Q147" s="368"/>
      <c r="R147" s="24"/>
      <c r="S147" s="266"/>
      <c r="T147" s="44"/>
      <c r="U147" s="43"/>
    </row>
    <row r="148" spans="1:20" s="120" customFormat="1" ht="193.5" customHeight="1" hidden="1">
      <c r="A148" s="195" t="s">
        <v>58</v>
      </c>
      <c r="B148" s="265" t="s">
        <v>33</v>
      </c>
      <c r="C148" s="41">
        <v>226</v>
      </c>
      <c r="D148" s="18" t="s">
        <v>19</v>
      </c>
      <c r="E148" s="196" t="s">
        <v>31</v>
      </c>
      <c r="F148" s="243" t="s">
        <v>70</v>
      </c>
      <c r="G148" s="117"/>
      <c r="H148" s="197">
        <f t="shared" si="9"/>
        <v>0</v>
      </c>
      <c r="I148" s="159"/>
      <c r="J148" s="160">
        <v>0</v>
      </c>
      <c r="K148" s="160"/>
      <c r="L148" s="160"/>
      <c r="M148" s="154">
        <v>0</v>
      </c>
      <c r="N148" s="154">
        <v>0</v>
      </c>
      <c r="O148" s="154">
        <v>0</v>
      </c>
      <c r="P148" s="292"/>
      <c r="Q148" s="363"/>
      <c r="R148" s="118"/>
      <c r="S148" s="272"/>
      <c r="T148" s="350"/>
    </row>
    <row r="149" spans="1:20" s="120" customFormat="1" ht="36">
      <c r="A149" s="490" t="s">
        <v>59</v>
      </c>
      <c r="B149" s="487" t="s">
        <v>53</v>
      </c>
      <c r="C149" s="335">
        <v>226</v>
      </c>
      <c r="D149" s="319" t="s">
        <v>19</v>
      </c>
      <c r="E149" s="417" t="s">
        <v>55</v>
      </c>
      <c r="F149" s="320"/>
      <c r="G149" s="336"/>
      <c r="H149" s="337">
        <f t="shared" si="9"/>
        <v>500</v>
      </c>
      <c r="I149" s="338"/>
      <c r="J149" s="324">
        <v>0</v>
      </c>
      <c r="K149" s="324"/>
      <c r="L149" s="324"/>
      <c r="M149" s="325">
        <v>0</v>
      </c>
      <c r="N149" s="325">
        <v>0</v>
      </c>
      <c r="O149" s="325">
        <v>500</v>
      </c>
      <c r="P149" s="292"/>
      <c r="Q149" s="363"/>
      <c r="R149" s="118"/>
      <c r="S149" s="272"/>
      <c r="T149" s="119"/>
    </row>
    <row r="150" spans="1:20" ht="36">
      <c r="A150" s="491"/>
      <c r="B150" s="488"/>
      <c r="C150" s="39">
        <v>226</v>
      </c>
      <c r="D150" s="26" t="s">
        <v>19</v>
      </c>
      <c r="E150" s="418" t="s">
        <v>99</v>
      </c>
      <c r="F150" s="29"/>
      <c r="G150" s="103"/>
      <c r="H150" s="104">
        <f t="shared" si="9"/>
        <v>500</v>
      </c>
      <c r="I150" s="105"/>
      <c r="J150" s="106">
        <v>500</v>
      </c>
      <c r="K150" s="107"/>
      <c r="L150" s="107"/>
      <c r="M150" s="106">
        <v>0</v>
      </c>
      <c r="N150" s="108">
        <v>0</v>
      </c>
      <c r="O150" s="106">
        <v>0</v>
      </c>
      <c r="P150" s="293"/>
      <c r="Q150" s="163"/>
      <c r="R150" s="24"/>
      <c r="S150" s="266"/>
      <c r="T150" s="44"/>
    </row>
    <row r="151" spans="1:20" ht="48">
      <c r="A151" s="491"/>
      <c r="B151" s="488"/>
      <c r="C151" s="41">
        <v>226</v>
      </c>
      <c r="D151" s="172" t="s">
        <v>19</v>
      </c>
      <c r="E151" s="1" t="s">
        <v>120</v>
      </c>
      <c r="F151" s="242"/>
      <c r="G151" s="103"/>
      <c r="H151" s="31">
        <f t="shared" si="9"/>
        <v>1000</v>
      </c>
      <c r="I151" s="105"/>
      <c r="J151" s="175">
        <v>0</v>
      </c>
      <c r="K151" s="175"/>
      <c r="L151" s="116"/>
      <c r="M151" s="175">
        <v>1000</v>
      </c>
      <c r="N151" s="106">
        <v>0</v>
      </c>
      <c r="O151" s="175">
        <v>0</v>
      </c>
      <c r="P151" s="290"/>
      <c r="Q151" s="163"/>
      <c r="R151" s="24"/>
      <c r="S151" s="266"/>
      <c r="T151" s="43"/>
    </row>
    <row r="152" spans="1:20" ht="48">
      <c r="A152" s="491"/>
      <c r="B152" s="488"/>
      <c r="C152" s="41">
        <v>226</v>
      </c>
      <c r="D152" s="172" t="s">
        <v>19</v>
      </c>
      <c r="E152" s="1" t="s">
        <v>119</v>
      </c>
      <c r="F152" s="334"/>
      <c r="G152" s="37">
        <f>191.2+2159.67+110.2+543+352.4+2453+166.5+620.5</f>
        <v>6596.469999999999</v>
      </c>
      <c r="H152" s="333">
        <f>SUM(K152:O152)</f>
        <v>9709.908689999998</v>
      </c>
      <c r="I152" s="21"/>
      <c r="J152" s="388">
        <v>0</v>
      </c>
      <c r="K152" s="331"/>
      <c r="L152" s="135"/>
      <c r="M152" s="175">
        <v>0</v>
      </c>
      <c r="N152" s="175">
        <f>416.60377+2869.31597+27.58654*2+240.11368+721.42437+8.4605+80.4605+767.84084+3259.03127+41.35392*2+362.78519+824.3901+10.80079+10.80079</f>
        <v>9709.908689999998</v>
      </c>
      <c r="O152" s="175">
        <v>0</v>
      </c>
      <c r="P152" s="290"/>
      <c r="Q152" s="163"/>
      <c r="R152" s="24"/>
      <c r="S152" s="266"/>
      <c r="T152" s="278"/>
    </row>
    <row r="153" spans="1:20" ht="36">
      <c r="A153" s="491"/>
      <c r="B153" s="488"/>
      <c r="C153" s="41">
        <v>226</v>
      </c>
      <c r="D153" s="172" t="s">
        <v>19</v>
      </c>
      <c r="E153" s="1" t="s">
        <v>118</v>
      </c>
      <c r="F153" s="3"/>
      <c r="G153" s="343">
        <f>165+3+77+4+156+6+68</f>
        <v>479</v>
      </c>
      <c r="H153" s="333">
        <f>SUM(J153:O153)</f>
        <v>2280.0346799999998</v>
      </c>
      <c r="I153" s="21"/>
      <c r="J153" s="331">
        <v>0</v>
      </c>
      <c r="K153" s="331"/>
      <c r="L153" s="135"/>
      <c r="M153" s="330">
        <v>0</v>
      </c>
      <c r="N153" s="330">
        <f>527.8383+143.92815+27.58654*2+499.04712+287.8563+41.35392*2+246.32454+191.9042+8.4605+8.4605+217.53336+10.80079</f>
        <v>2280.0346799999998</v>
      </c>
      <c r="O153" s="330">
        <v>0</v>
      </c>
      <c r="P153" s="290"/>
      <c r="Q153" s="163"/>
      <c r="R153" s="24"/>
      <c r="S153" s="266"/>
      <c r="T153" s="43"/>
    </row>
    <row r="154" spans="1:20" ht="60">
      <c r="A154" s="491"/>
      <c r="B154" s="488"/>
      <c r="C154" s="41">
        <v>226</v>
      </c>
      <c r="D154" s="172" t="s">
        <v>19</v>
      </c>
      <c r="E154" s="1" t="s">
        <v>117</v>
      </c>
      <c r="F154" s="334"/>
      <c r="G154" s="343">
        <f>165+3+77+4+156+6+68</f>
        <v>479</v>
      </c>
      <c r="H154" s="333">
        <f>SUM(J154:O154)</f>
        <v>0</v>
      </c>
      <c r="I154" s="21"/>
      <c r="J154" s="331">
        <v>0</v>
      </c>
      <c r="K154" s="331"/>
      <c r="L154" s="135"/>
      <c r="M154" s="330">
        <v>0</v>
      </c>
      <c r="N154" s="330">
        <v>0</v>
      </c>
      <c r="O154" s="330">
        <v>0</v>
      </c>
      <c r="P154" s="290"/>
      <c r="Q154" s="163"/>
      <c r="R154" s="24"/>
      <c r="S154" s="266"/>
      <c r="T154" s="43"/>
    </row>
    <row r="155" spans="1:20" ht="36" customHeight="1" hidden="1">
      <c r="A155" s="194"/>
      <c r="B155" s="489"/>
      <c r="C155" s="39">
        <v>226</v>
      </c>
      <c r="D155" s="26" t="s">
        <v>19</v>
      </c>
      <c r="E155" s="42"/>
      <c r="F155" s="29"/>
      <c r="G155" s="103"/>
      <c r="H155" s="31"/>
      <c r="I155" s="105"/>
      <c r="J155" s="107"/>
      <c r="K155" s="107"/>
      <c r="L155" s="116"/>
      <c r="M155" s="106"/>
      <c r="N155" s="106"/>
      <c r="O155" s="106"/>
      <c r="P155" s="290"/>
      <c r="Q155" s="163"/>
      <c r="R155" s="40"/>
      <c r="S155" s="266"/>
      <c r="T155" s="43"/>
    </row>
    <row r="156" spans="1:19" s="34" customFormat="1" ht="19.5" customHeight="1">
      <c r="A156" s="189"/>
      <c r="B156" s="177" t="s">
        <v>9</v>
      </c>
      <c r="C156" s="178">
        <v>226</v>
      </c>
      <c r="D156" s="18"/>
      <c r="E156" s="419" t="s">
        <v>16</v>
      </c>
      <c r="F156" s="177"/>
      <c r="G156" s="190"/>
      <c r="H156" s="179">
        <f>SUM(J156:O156)</f>
        <v>155.35853903999998</v>
      </c>
      <c r="I156" s="180"/>
      <c r="J156" s="181">
        <v>0</v>
      </c>
      <c r="K156" s="181"/>
      <c r="L156" s="181"/>
      <c r="M156" s="182">
        <v>0</v>
      </c>
      <c r="N156" s="183">
        <v>0</v>
      </c>
      <c r="O156" s="181">
        <f>SUM(H152)*1.6%</f>
        <v>155.35853903999998</v>
      </c>
      <c r="P156" s="288"/>
      <c r="Q156" s="364"/>
      <c r="R156" s="17"/>
      <c r="S156" s="273"/>
    </row>
    <row r="157" spans="1:19" s="28" customFormat="1" ht="19.5" customHeight="1" thickBot="1">
      <c r="A157" s="207"/>
      <c r="B157" s="153" t="s">
        <v>10</v>
      </c>
      <c r="C157" s="153"/>
      <c r="D157" s="153"/>
      <c r="E157" s="166" t="s">
        <v>27</v>
      </c>
      <c r="F157" s="153"/>
      <c r="G157" s="208"/>
      <c r="H157" s="199">
        <f>SUM(H122:H156)</f>
        <v>21730.34264904</v>
      </c>
      <c r="I157" s="201"/>
      <c r="J157" s="199">
        <f>SUM(J122:J156)</f>
        <v>2333.47555</v>
      </c>
      <c r="K157" s="199"/>
      <c r="L157" s="199"/>
      <c r="M157" s="202">
        <f>SUM(M122:M156)</f>
        <v>3218.95126</v>
      </c>
      <c r="N157" s="203">
        <f>SUM(N122:N156)</f>
        <v>13678.593689999998</v>
      </c>
      <c r="O157" s="202">
        <f>SUM(O122:O156)</f>
        <v>2499.32214904</v>
      </c>
      <c r="P157" s="294"/>
      <c r="Q157" s="204"/>
      <c r="R157" s="204"/>
      <c r="S157" s="274"/>
    </row>
    <row r="158" spans="1:19" s="14" customFormat="1" ht="15.75" customHeight="1" hidden="1" thickBot="1">
      <c r="A158" s="464" t="s">
        <v>60</v>
      </c>
      <c r="B158" s="465"/>
      <c r="C158" s="465"/>
      <c r="D158" s="465"/>
      <c r="E158" s="465"/>
      <c r="F158" s="465"/>
      <c r="G158" s="465"/>
      <c r="H158" s="465"/>
      <c r="I158" s="465"/>
      <c r="J158" s="465"/>
      <c r="K158" s="465"/>
      <c r="L158" s="465"/>
      <c r="M158" s="465"/>
      <c r="N158" s="465"/>
      <c r="O158" s="466"/>
      <c r="P158" s="282"/>
      <c r="Q158" s="364"/>
      <c r="R158" s="17"/>
      <c r="S158" s="275"/>
    </row>
    <row r="159" spans="1:19" s="33" customFormat="1" ht="68.25" customHeight="1" hidden="1">
      <c r="A159" s="475"/>
      <c r="B159" s="498" t="s">
        <v>47</v>
      </c>
      <c r="C159" s="172">
        <v>226</v>
      </c>
      <c r="D159" s="29" t="s">
        <v>19</v>
      </c>
      <c r="E159" s="241" t="s">
        <v>72</v>
      </c>
      <c r="F159" s="187" t="s">
        <v>54</v>
      </c>
      <c r="G159" s="30">
        <v>4</v>
      </c>
      <c r="H159" s="295">
        <f>SUM(J159:O159)</f>
        <v>0</v>
      </c>
      <c r="I159" s="105"/>
      <c r="J159" s="175">
        <v>0</v>
      </c>
      <c r="K159" s="175"/>
      <c r="L159" s="175"/>
      <c r="M159" s="347">
        <f>34.67003+18.31255-52.98258</f>
        <v>0</v>
      </c>
      <c r="N159" s="106">
        <v>0</v>
      </c>
      <c r="O159" s="106">
        <v>0</v>
      </c>
      <c r="P159" s="312"/>
      <c r="Q159" s="365"/>
      <c r="R159" s="17"/>
      <c r="S159" s="273"/>
    </row>
    <row r="160" spans="1:19" s="33" customFormat="1" ht="67.5" customHeight="1" hidden="1">
      <c r="A160" s="476"/>
      <c r="B160" s="499"/>
      <c r="C160" s="18">
        <v>226</v>
      </c>
      <c r="D160" s="176" t="s">
        <v>19</v>
      </c>
      <c r="E160" s="85" t="s">
        <v>39</v>
      </c>
      <c r="F160" s="188" t="s">
        <v>38</v>
      </c>
      <c r="G160" s="20"/>
      <c r="H160" s="2">
        <f>SUM(J160:O160)</f>
        <v>0</v>
      </c>
      <c r="I160" s="21"/>
      <c r="J160" s="171">
        <v>0</v>
      </c>
      <c r="K160" s="171"/>
      <c r="L160" s="171"/>
      <c r="M160" s="174">
        <v>0</v>
      </c>
      <c r="N160" s="245">
        <v>0</v>
      </c>
      <c r="O160" s="245">
        <v>0</v>
      </c>
      <c r="P160" s="291"/>
      <c r="Q160" s="365"/>
      <c r="R160" s="17"/>
      <c r="S160" s="273"/>
    </row>
    <row r="161" spans="1:19" s="33" customFormat="1" ht="16.5" customHeight="1" hidden="1">
      <c r="A161" s="298"/>
      <c r="B161" s="299" t="s">
        <v>9</v>
      </c>
      <c r="C161" s="300">
        <v>226</v>
      </c>
      <c r="D161" s="301"/>
      <c r="E161" s="420" t="s">
        <v>16</v>
      </c>
      <c r="F161" s="302"/>
      <c r="G161" s="303"/>
      <c r="H161" s="304">
        <f>SUM(J161:O161)</f>
        <v>0</v>
      </c>
      <c r="I161" s="305"/>
      <c r="J161" s="306">
        <v>0</v>
      </c>
      <c r="K161" s="306"/>
      <c r="L161" s="306"/>
      <c r="M161" s="307">
        <v>0</v>
      </c>
      <c r="N161" s="307">
        <v>0</v>
      </c>
      <c r="O161" s="307">
        <v>0</v>
      </c>
      <c r="P161" s="291"/>
      <c r="Q161" s="365"/>
      <c r="R161" s="17"/>
      <c r="S161" s="273"/>
    </row>
    <row r="162" spans="1:19" s="28" customFormat="1" ht="19.5" customHeight="1" hidden="1" thickBot="1">
      <c r="A162" s="205"/>
      <c r="B162" s="153" t="s">
        <v>10</v>
      </c>
      <c r="C162" s="153"/>
      <c r="D162" s="153"/>
      <c r="E162" s="166" t="s">
        <v>34</v>
      </c>
      <c r="F162" s="296"/>
      <c r="G162" s="198"/>
      <c r="H162" s="308">
        <f>SUM(H159:H161)</f>
        <v>0</v>
      </c>
      <c r="I162" s="309"/>
      <c r="J162" s="308">
        <f>SUM(J159:J160)</f>
        <v>0</v>
      </c>
      <c r="K162" s="308"/>
      <c r="L162" s="308"/>
      <c r="M162" s="310">
        <f>SUM(M159:M161)</f>
        <v>0</v>
      </c>
      <c r="N162" s="311">
        <f>SUM(N159:N161)</f>
        <v>0</v>
      </c>
      <c r="O162" s="310">
        <f>SUM(O159:O161)</f>
        <v>0</v>
      </c>
      <c r="P162" s="294"/>
      <c r="Q162" s="204"/>
      <c r="R162" s="204"/>
      <c r="S162" s="274"/>
    </row>
    <row r="163" spans="1:19" s="14" customFormat="1" ht="13.5" customHeight="1" hidden="1" thickBot="1">
      <c r="A163" s="467" t="s">
        <v>61</v>
      </c>
      <c r="B163" s="465"/>
      <c r="C163" s="465"/>
      <c r="D163" s="465"/>
      <c r="E163" s="465"/>
      <c r="F163" s="465"/>
      <c r="G163" s="465"/>
      <c r="H163" s="465"/>
      <c r="I163" s="465"/>
      <c r="J163" s="465"/>
      <c r="K163" s="465"/>
      <c r="L163" s="465"/>
      <c r="M163" s="465"/>
      <c r="N163" s="465"/>
      <c r="O163" s="466"/>
      <c r="P163" s="282"/>
      <c r="Q163" s="365"/>
      <c r="R163" s="17"/>
      <c r="S163" s="275"/>
    </row>
    <row r="164" spans="1:16" ht="12.75" customHeight="1" hidden="1">
      <c r="A164" s="56"/>
      <c r="B164" s="57"/>
      <c r="C164" s="50"/>
      <c r="D164" s="50"/>
      <c r="E164" s="58"/>
      <c r="F164" s="59"/>
      <c r="G164" s="60"/>
      <c r="H164" s="61"/>
      <c r="I164" s="62"/>
      <c r="J164" s="149"/>
      <c r="K164" s="149"/>
      <c r="L164" s="150"/>
      <c r="M164" s="137"/>
      <c r="N164" s="142"/>
      <c r="O164" s="143"/>
      <c r="P164" s="282"/>
    </row>
    <row r="165" spans="1:17" ht="82.5" customHeight="1" hidden="1">
      <c r="A165" s="54" t="s">
        <v>7</v>
      </c>
      <c r="B165" s="111" t="s">
        <v>48</v>
      </c>
      <c r="C165" s="12">
        <v>226</v>
      </c>
      <c r="D165" s="12"/>
      <c r="E165" s="63"/>
      <c r="F165" s="64"/>
      <c r="G165" s="65"/>
      <c r="H165" s="66">
        <f>SUM(J165:O165)</f>
        <v>0</v>
      </c>
      <c r="I165" s="67">
        <v>0</v>
      </c>
      <c r="J165" s="151">
        <v>0</v>
      </c>
      <c r="K165" s="151">
        <v>0</v>
      </c>
      <c r="L165" s="152">
        <v>0</v>
      </c>
      <c r="M165" s="123">
        <f>SUM(K165:L165)</f>
        <v>0</v>
      </c>
      <c r="N165" s="125">
        <v>0</v>
      </c>
      <c r="O165" s="126">
        <f>SUM(N165)</f>
        <v>0</v>
      </c>
      <c r="P165" s="282"/>
      <c r="Q165" s="364"/>
    </row>
    <row r="166" spans="1:19" s="28" customFormat="1" ht="19.5" customHeight="1" hidden="1" thickBot="1">
      <c r="A166" s="200"/>
      <c r="B166" s="153" t="s">
        <v>10</v>
      </c>
      <c r="C166" s="153"/>
      <c r="D166" s="153"/>
      <c r="E166" s="166" t="s">
        <v>49</v>
      </c>
      <c r="F166" s="153"/>
      <c r="G166" s="198"/>
      <c r="H166" s="199">
        <f>SUM(J166:O166)</f>
        <v>0</v>
      </c>
      <c r="I166" s="201"/>
      <c r="J166" s="199">
        <f>SUM(J165)</f>
        <v>0</v>
      </c>
      <c r="K166" s="199"/>
      <c r="L166" s="199"/>
      <c r="M166" s="202">
        <f>SUM(M165)</f>
        <v>0</v>
      </c>
      <c r="N166" s="203">
        <f>SUM(N165)</f>
        <v>0</v>
      </c>
      <c r="O166" s="202">
        <f>SUM(O165)</f>
        <v>0</v>
      </c>
      <c r="P166" s="294"/>
      <c r="Q166" s="204"/>
      <c r="R166" s="204"/>
      <c r="S166" s="274"/>
    </row>
    <row r="167" spans="1:19" s="69" customFormat="1" ht="19.5" customHeight="1" thickBot="1">
      <c r="A167" s="468" t="s">
        <v>8</v>
      </c>
      <c r="B167" s="469"/>
      <c r="C167" s="469"/>
      <c r="D167" s="469"/>
      <c r="E167" s="469"/>
      <c r="F167" s="469"/>
      <c r="G167" s="470"/>
      <c r="H167" s="86">
        <f>SUM(H166+H162+H157+H120+H119+H118+H117)</f>
        <v>70485.38791875564</v>
      </c>
      <c r="I167" s="68"/>
      <c r="J167" s="164">
        <f>SUM(J166+J162+J157+J120+J119+J118+J117)</f>
        <v>3733.47555</v>
      </c>
      <c r="K167" s="164"/>
      <c r="L167" s="164"/>
      <c r="M167" s="164">
        <f>SUM(M166+M162+M157+M120+M119+M118+M117)</f>
        <v>7697.571973999999</v>
      </c>
      <c r="N167" s="165">
        <f>SUM(N166+N162+N157+N120+N119+N118+N117)</f>
        <v>48655.01824571563</v>
      </c>
      <c r="O167" s="164">
        <f>SUM(O166+O162+O157+O120+O119+O118+O117)</f>
        <v>10399.32214904</v>
      </c>
      <c r="P167" s="288"/>
      <c r="Q167" s="364"/>
      <c r="R167" s="17"/>
      <c r="S167" s="277"/>
    </row>
    <row r="168" spans="1:19" s="69" customFormat="1" ht="19.5" customHeight="1">
      <c r="A168" s="70"/>
      <c r="B168" s="70"/>
      <c r="C168" s="70"/>
      <c r="D168" s="70"/>
      <c r="E168" s="421"/>
      <c r="F168" s="70"/>
      <c r="G168" s="70"/>
      <c r="H168" s="355"/>
      <c r="I168" s="71"/>
      <c r="J168" s="356"/>
      <c r="K168" s="356"/>
      <c r="L168" s="356"/>
      <c r="M168" s="356"/>
      <c r="N168" s="357"/>
      <c r="O168" s="356"/>
      <c r="P168" s="288"/>
      <c r="Q168" s="364"/>
      <c r="R168" s="17"/>
      <c r="S168" s="277"/>
    </row>
    <row r="169" spans="2:17" ht="12.75">
      <c r="B169" s="458" t="s">
        <v>40</v>
      </c>
      <c r="C169" s="458"/>
      <c r="D169" s="458"/>
      <c r="E169" s="458"/>
      <c r="F169" s="458"/>
      <c r="G169" s="458"/>
      <c r="H169" s="458"/>
      <c r="I169" s="458"/>
      <c r="J169" s="458"/>
      <c r="K169" s="458"/>
      <c r="L169" s="458"/>
      <c r="M169" s="458"/>
      <c r="Q169" s="364"/>
    </row>
    <row r="170" ht="12.75">
      <c r="Q170" s="364"/>
    </row>
    <row r="171" spans="2:17" ht="15">
      <c r="B171" s="72"/>
      <c r="C171" s="73"/>
      <c r="E171" s="423"/>
      <c r="F171" s="75"/>
      <c r="G171" s="76"/>
      <c r="H171" s="77"/>
      <c r="I171" s="78"/>
      <c r="Q171" s="364"/>
    </row>
    <row r="172" spans="2:17" ht="12.75">
      <c r="B172" s="101"/>
      <c r="D172" s="99"/>
      <c r="E172" s="424"/>
      <c r="H172" s="313"/>
      <c r="I172" s="314"/>
      <c r="J172" s="17"/>
      <c r="K172" s="17"/>
      <c r="L172" s="280"/>
      <c r="M172" s="280"/>
      <c r="N172" s="315"/>
      <c r="O172" s="280"/>
      <c r="Q172" s="364"/>
    </row>
    <row r="173" spans="5:15" ht="12.75">
      <c r="E173" s="424"/>
      <c r="H173" s="313"/>
      <c r="I173" s="314"/>
      <c r="J173" s="316"/>
      <c r="K173" s="17"/>
      <c r="L173" s="280"/>
      <c r="M173" s="280"/>
      <c r="N173" s="315"/>
      <c r="O173" s="280"/>
    </row>
    <row r="174" spans="5:15" ht="12.75">
      <c r="E174" s="425"/>
      <c r="H174" s="313"/>
      <c r="I174" s="314"/>
      <c r="J174" s="36"/>
      <c r="K174" s="36"/>
      <c r="L174" s="280"/>
      <c r="M174" s="280"/>
      <c r="N174" s="315"/>
      <c r="O174" s="280"/>
    </row>
    <row r="175" spans="4:17" ht="15.75">
      <c r="D175" s="99"/>
      <c r="E175" s="426"/>
      <c r="H175" s="313"/>
      <c r="I175" s="314"/>
      <c r="J175" s="36"/>
      <c r="K175" s="36"/>
      <c r="L175" s="280"/>
      <c r="M175" s="280"/>
      <c r="N175" s="315"/>
      <c r="O175" s="280"/>
      <c r="Q175" s="364"/>
    </row>
    <row r="176" spans="5:17" ht="12.75">
      <c r="E176" s="424"/>
      <c r="H176" s="313"/>
      <c r="I176" s="314"/>
      <c r="J176" s="36"/>
      <c r="K176" s="36"/>
      <c r="L176" s="280"/>
      <c r="M176" s="280"/>
      <c r="N176" s="315"/>
      <c r="O176" s="280"/>
      <c r="Q176" s="364"/>
    </row>
    <row r="177" spans="5:17" ht="12.75">
      <c r="E177" s="427"/>
      <c r="J177" s="36"/>
      <c r="K177" s="36"/>
      <c r="Q177" s="364"/>
    </row>
    <row r="178" spans="5:17" ht="12.75">
      <c r="E178" s="424"/>
      <c r="J178" s="10"/>
      <c r="K178" s="36"/>
      <c r="Q178" s="364"/>
    </row>
    <row r="179" ht="12.75">
      <c r="Q179" s="364"/>
    </row>
    <row r="183" ht="12.75">
      <c r="E183" s="424"/>
    </row>
  </sheetData>
  <sheetProtection/>
  <mergeCells count="45">
    <mergeCell ref="B1:E1"/>
    <mergeCell ref="A3:L3"/>
    <mergeCell ref="I1:O1"/>
    <mergeCell ref="A4:A5"/>
    <mergeCell ref="G94:G95"/>
    <mergeCell ref="I94:I95"/>
    <mergeCell ref="G4:G5"/>
    <mergeCell ref="C94:C95"/>
    <mergeCell ref="E4:E5"/>
    <mergeCell ref="O94:O95"/>
    <mergeCell ref="A2:N2"/>
    <mergeCell ref="H4:H5"/>
    <mergeCell ref="B4:B5"/>
    <mergeCell ref="B159:B160"/>
    <mergeCell ref="E94:E95"/>
    <mergeCell ref="B93:B104"/>
    <mergeCell ref="D4:D5"/>
    <mergeCell ref="F4:F5"/>
    <mergeCell ref="I4:O4"/>
    <mergeCell ref="J94:J95"/>
    <mergeCell ref="H94:H95"/>
    <mergeCell ref="B149:B155"/>
    <mergeCell ref="A149:A154"/>
    <mergeCell ref="A59:A90"/>
    <mergeCell ref="B123:B147"/>
    <mergeCell ref="F94:F95"/>
    <mergeCell ref="L94:L95"/>
    <mergeCell ref="C4:C5"/>
    <mergeCell ref="A6:O6"/>
    <mergeCell ref="M94:M95"/>
    <mergeCell ref="D94:D95"/>
    <mergeCell ref="N94:N95"/>
    <mergeCell ref="A93:A104"/>
    <mergeCell ref="B13:B52"/>
    <mergeCell ref="K94:K95"/>
    <mergeCell ref="B59:B90"/>
    <mergeCell ref="B169:M169"/>
    <mergeCell ref="B107:B114"/>
    <mergeCell ref="A107:A114"/>
    <mergeCell ref="A158:O158"/>
    <mergeCell ref="A163:O163"/>
    <mergeCell ref="A167:G167"/>
    <mergeCell ref="A121:O121"/>
    <mergeCell ref="A123:A144"/>
    <mergeCell ref="A159:A160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2"/>
  <sheetViews>
    <sheetView tabSelected="1" zoomScalePageLayoutView="0" workbookViewId="0" topLeftCell="A150">
      <selection activeCell="Q155" sqref="Q155"/>
    </sheetView>
  </sheetViews>
  <sheetFormatPr defaultColWidth="9.00390625" defaultRowHeight="19.5" customHeight="1"/>
  <cols>
    <col min="1" max="1" width="4.875" style="0" customWidth="1"/>
    <col min="2" max="2" width="24.25390625" style="0" customWidth="1"/>
    <col min="3" max="3" width="6.125" style="0" customWidth="1"/>
    <col min="4" max="4" width="8.375" style="0" customWidth="1"/>
    <col min="5" max="5" width="26.125" style="0" customWidth="1"/>
    <col min="6" max="6" width="6.625" style="0" customWidth="1"/>
    <col min="7" max="7" width="10.875" style="0" customWidth="1"/>
    <col min="8" max="8" width="11.75390625" style="0" customWidth="1"/>
    <col min="9" max="9" width="12.125" style="0" customWidth="1"/>
    <col min="10" max="10" width="11.75390625" style="0" customWidth="1"/>
    <col min="11" max="12" width="11.25390625" style="0" customWidth="1"/>
    <col min="14" max="14" width="20.125" style="0" customWidth="1"/>
    <col min="19" max="19" width="10.625" style="0" bestFit="1" customWidth="1"/>
  </cols>
  <sheetData>
    <row r="1" spans="1:12" ht="51" customHeight="1">
      <c r="A1" s="6"/>
      <c r="B1" s="518"/>
      <c r="C1" s="519"/>
      <c r="D1" s="519"/>
      <c r="E1" s="519"/>
      <c r="F1" s="7"/>
      <c r="G1" s="8"/>
      <c r="H1" s="9"/>
      <c r="I1" s="518" t="s">
        <v>223</v>
      </c>
      <c r="J1" s="519"/>
      <c r="K1" s="519"/>
      <c r="L1" s="519"/>
    </row>
    <row r="2" spans="1:12" ht="32.25" customHeight="1">
      <c r="A2" s="495" t="s">
        <v>203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121"/>
    </row>
    <row r="3" spans="1:12" ht="19.5" customHeight="1" thickBot="1">
      <c r="A3" s="505" t="s">
        <v>6</v>
      </c>
      <c r="B3" s="505"/>
      <c r="C3" s="505"/>
      <c r="D3" s="505"/>
      <c r="E3" s="505"/>
      <c r="F3" s="505"/>
      <c r="G3" s="505"/>
      <c r="H3" s="505"/>
      <c r="I3" s="505"/>
      <c r="J3" s="121"/>
      <c r="K3" s="122"/>
      <c r="L3" s="121"/>
    </row>
    <row r="4" spans="1:12" ht="19.5" customHeight="1" thickBot="1">
      <c r="A4" s="508" t="s">
        <v>0</v>
      </c>
      <c r="B4" s="478" t="s">
        <v>1</v>
      </c>
      <c r="C4" s="478" t="s">
        <v>15</v>
      </c>
      <c r="D4" s="478" t="s">
        <v>18</v>
      </c>
      <c r="E4" s="516" t="s">
        <v>2</v>
      </c>
      <c r="F4" s="478" t="s">
        <v>3</v>
      </c>
      <c r="G4" s="513" t="s">
        <v>14</v>
      </c>
      <c r="H4" s="496" t="s">
        <v>17</v>
      </c>
      <c r="I4" s="502"/>
      <c r="J4" s="502"/>
      <c r="K4" s="502"/>
      <c r="L4" s="503"/>
    </row>
    <row r="5" spans="1:12" ht="19.5" customHeight="1" thickBot="1">
      <c r="A5" s="509"/>
      <c r="B5" s="479"/>
      <c r="C5" s="479"/>
      <c r="D5" s="479"/>
      <c r="E5" s="517"/>
      <c r="F5" s="479"/>
      <c r="G5" s="514"/>
      <c r="H5" s="497"/>
      <c r="I5" s="123" t="s">
        <v>23</v>
      </c>
      <c r="J5" s="123" t="s">
        <v>24</v>
      </c>
      <c r="K5" s="125" t="s">
        <v>4</v>
      </c>
      <c r="L5" s="126" t="s">
        <v>5</v>
      </c>
    </row>
    <row r="6" spans="1:12" ht="19.5" customHeight="1" thickBot="1">
      <c r="A6" s="467" t="s">
        <v>43</v>
      </c>
      <c r="B6" s="480"/>
      <c r="C6" s="480"/>
      <c r="D6" s="480"/>
      <c r="E6" s="480"/>
      <c r="F6" s="480"/>
      <c r="G6" s="480"/>
      <c r="H6" s="481"/>
      <c r="I6" s="481"/>
      <c r="J6" s="481"/>
      <c r="K6" s="481"/>
      <c r="L6" s="482"/>
    </row>
    <row r="7" spans="1:12" ht="36" hidden="1">
      <c r="A7" s="236"/>
      <c r="B7" s="169"/>
      <c r="C7" s="89">
        <v>226</v>
      </c>
      <c r="D7" s="89" t="s">
        <v>19</v>
      </c>
      <c r="E7" s="411" t="s">
        <v>126</v>
      </c>
      <c r="F7" s="90" t="s">
        <v>13</v>
      </c>
      <c r="G7" s="91">
        <v>12</v>
      </c>
      <c r="H7" s="87">
        <f aca="true" t="shared" si="0" ref="H7:H38">SUM(I7:L7)</f>
        <v>31.3928</v>
      </c>
      <c r="I7" s="127">
        <v>0</v>
      </c>
      <c r="J7" s="128">
        <v>31.3928</v>
      </c>
      <c r="K7" s="127">
        <v>0</v>
      </c>
      <c r="L7" s="127">
        <v>0</v>
      </c>
    </row>
    <row r="8" spans="1:12" ht="19.5" customHeight="1" hidden="1">
      <c r="A8" s="237"/>
      <c r="B8" s="169"/>
      <c r="C8" s="89">
        <v>226</v>
      </c>
      <c r="D8" s="89" t="s">
        <v>19</v>
      </c>
      <c r="E8" s="411" t="s">
        <v>127</v>
      </c>
      <c r="F8" s="90" t="s">
        <v>13</v>
      </c>
      <c r="G8" s="91">
        <v>56</v>
      </c>
      <c r="H8" s="87">
        <f t="shared" si="0"/>
        <v>118.34934</v>
      </c>
      <c r="I8" s="127">
        <v>0</v>
      </c>
      <c r="J8" s="128">
        <v>118.34934</v>
      </c>
      <c r="K8" s="127">
        <v>0</v>
      </c>
      <c r="L8" s="127">
        <v>0</v>
      </c>
    </row>
    <row r="9" spans="1:12" ht="19.5" customHeight="1" hidden="1">
      <c r="A9" s="237"/>
      <c r="B9" s="169"/>
      <c r="C9" s="89">
        <v>226</v>
      </c>
      <c r="D9" s="89" t="s">
        <v>19</v>
      </c>
      <c r="E9" s="411" t="s">
        <v>128</v>
      </c>
      <c r="F9" s="90" t="s">
        <v>13</v>
      </c>
      <c r="G9" s="91">
        <v>2</v>
      </c>
      <c r="H9" s="87">
        <f t="shared" si="0"/>
        <v>7.46849</v>
      </c>
      <c r="I9" s="127">
        <v>0</v>
      </c>
      <c r="J9" s="128">
        <v>7.46849</v>
      </c>
      <c r="K9" s="127">
        <v>0</v>
      </c>
      <c r="L9" s="127">
        <v>0</v>
      </c>
    </row>
    <row r="10" spans="1:12" ht="19.5" customHeight="1" hidden="1">
      <c r="A10" s="237"/>
      <c r="B10" s="169"/>
      <c r="C10" s="89">
        <v>226</v>
      </c>
      <c r="D10" s="89" t="s">
        <v>19</v>
      </c>
      <c r="E10" s="411" t="s">
        <v>129</v>
      </c>
      <c r="F10" s="92" t="s">
        <v>13</v>
      </c>
      <c r="G10" s="91">
        <v>38.25</v>
      </c>
      <c r="H10" s="87">
        <f t="shared" si="0"/>
        <v>85.4537</v>
      </c>
      <c r="I10" s="127">
        <v>0</v>
      </c>
      <c r="J10" s="128">
        <v>85.4537</v>
      </c>
      <c r="K10" s="127">
        <v>0</v>
      </c>
      <c r="L10" s="127">
        <v>0</v>
      </c>
    </row>
    <row r="11" spans="1:12" ht="19.5" customHeight="1" hidden="1">
      <c r="A11" s="237"/>
      <c r="B11" s="169"/>
      <c r="C11" s="89">
        <v>226</v>
      </c>
      <c r="D11" s="89" t="s">
        <v>19</v>
      </c>
      <c r="E11" s="342" t="s">
        <v>71</v>
      </c>
      <c r="F11" s="90" t="s">
        <v>13</v>
      </c>
      <c r="G11" s="91">
        <v>3</v>
      </c>
      <c r="H11" s="87">
        <f t="shared" si="0"/>
        <v>9.62248</v>
      </c>
      <c r="I11" s="127">
        <v>0</v>
      </c>
      <c r="J11" s="128">
        <v>9.62248</v>
      </c>
      <c r="K11" s="127">
        <v>0</v>
      </c>
      <c r="L11" s="127">
        <v>0</v>
      </c>
    </row>
    <row r="12" spans="1:12" ht="19.5" customHeight="1" hidden="1">
      <c r="A12" s="237"/>
      <c r="B12" s="169"/>
      <c r="C12" s="89">
        <v>226</v>
      </c>
      <c r="D12" s="89" t="s">
        <v>19</v>
      </c>
      <c r="E12" s="342" t="s">
        <v>130</v>
      </c>
      <c r="F12" s="90" t="s">
        <v>13</v>
      </c>
      <c r="G12" s="91">
        <v>4</v>
      </c>
      <c r="H12" s="87">
        <f t="shared" si="0"/>
        <v>16.51616</v>
      </c>
      <c r="I12" s="127">
        <v>0</v>
      </c>
      <c r="J12" s="128">
        <v>16.51616</v>
      </c>
      <c r="K12" s="127">
        <v>0</v>
      </c>
      <c r="L12" s="127">
        <v>0</v>
      </c>
    </row>
    <row r="13" spans="1:12" ht="19.5" customHeight="1" hidden="1">
      <c r="A13" s="237"/>
      <c r="B13" s="460" t="s">
        <v>73</v>
      </c>
      <c r="C13" s="89">
        <v>226</v>
      </c>
      <c r="D13" s="89" t="s">
        <v>19</v>
      </c>
      <c r="E13" s="342" t="s">
        <v>131</v>
      </c>
      <c r="F13" s="90" t="s">
        <v>13</v>
      </c>
      <c r="G13" s="91">
        <v>28.75</v>
      </c>
      <c r="H13" s="87">
        <f t="shared" si="0"/>
        <v>83.53817</v>
      </c>
      <c r="I13" s="127">
        <v>0</v>
      </c>
      <c r="J13" s="128">
        <v>83.53817</v>
      </c>
      <c r="K13" s="127">
        <v>0</v>
      </c>
      <c r="L13" s="127">
        <v>0</v>
      </c>
    </row>
    <row r="14" spans="1:12" ht="19.5" customHeight="1" hidden="1">
      <c r="A14" s="237"/>
      <c r="B14" s="460"/>
      <c r="C14" s="332">
        <v>226</v>
      </c>
      <c r="D14" s="332" t="s">
        <v>19</v>
      </c>
      <c r="E14" s="1" t="s">
        <v>132</v>
      </c>
      <c r="F14" s="334" t="s">
        <v>13</v>
      </c>
      <c r="G14" s="20">
        <v>5</v>
      </c>
      <c r="H14" s="333">
        <f t="shared" si="0"/>
        <v>17.8825</v>
      </c>
      <c r="I14" s="331">
        <v>0</v>
      </c>
      <c r="J14" s="330">
        <v>17.8825</v>
      </c>
      <c r="K14" s="331">
        <v>0</v>
      </c>
      <c r="L14" s="331">
        <v>0</v>
      </c>
    </row>
    <row r="15" spans="1:12" ht="19.5" customHeight="1" hidden="1">
      <c r="A15" s="237"/>
      <c r="B15" s="460"/>
      <c r="C15" s="332">
        <v>226</v>
      </c>
      <c r="D15" s="332" t="s">
        <v>19</v>
      </c>
      <c r="E15" s="5" t="s">
        <v>133</v>
      </c>
      <c r="F15" s="334" t="s">
        <v>13</v>
      </c>
      <c r="G15" s="20">
        <f>9.75+39.75</f>
        <v>49.5</v>
      </c>
      <c r="H15" s="333">
        <f t="shared" si="0"/>
        <v>138.80383</v>
      </c>
      <c r="I15" s="331">
        <v>0</v>
      </c>
      <c r="J15" s="330">
        <v>138.80383</v>
      </c>
      <c r="K15" s="331">
        <v>0</v>
      </c>
      <c r="L15" s="331">
        <v>0</v>
      </c>
    </row>
    <row r="16" spans="1:12" ht="19.5" customHeight="1" hidden="1">
      <c r="A16" s="237"/>
      <c r="B16" s="460"/>
      <c r="C16" s="89">
        <v>226</v>
      </c>
      <c r="D16" s="89" t="s">
        <v>19</v>
      </c>
      <c r="E16" s="411" t="s">
        <v>135</v>
      </c>
      <c r="F16" s="90" t="s">
        <v>13</v>
      </c>
      <c r="G16" s="91">
        <v>14</v>
      </c>
      <c r="H16" s="87">
        <f t="shared" si="0"/>
        <v>38.07154</v>
      </c>
      <c r="I16" s="127">
        <v>0</v>
      </c>
      <c r="J16" s="128">
        <v>38.07154</v>
      </c>
      <c r="K16" s="127">
        <v>0</v>
      </c>
      <c r="L16" s="127">
        <v>0</v>
      </c>
    </row>
    <row r="17" spans="1:12" ht="19.5" customHeight="1" hidden="1">
      <c r="A17" s="237"/>
      <c r="B17" s="460"/>
      <c r="C17" s="89">
        <v>226</v>
      </c>
      <c r="D17" s="89" t="s">
        <v>42</v>
      </c>
      <c r="E17" s="411" t="s">
        <v>136</v>
      </c>
      <c r="F17" s="90" t="s">
        <v>13</v>
      </c>
      <c r="G17" s="91">
        <v>7.5</v>
      </c>
      <c r="H17" s="87">
        <f t="shared" si="0"/>
        <v>20.52218</v>
      </c>
      <c r="I17" s="127">
        <v>0</v>
      </c>
      <c r="J17" s="128">
        <v>20.52218</v>
      </c>
      <c r="K17" s="127">
        <v>0</v>
      </c>
      <c r="L17" s="127">
        <v>0</v>
      </c>
    </row>
    <row r="18" spans="1:12" ht="19.5" customHeight="1" hidden="1">
      <c r="A18" s="237"/>
      <c r="B18" s="460"/>
      <c r="C18" s="89">
        <v>226</v>
      </c>
      <c r="D18" s="89" t="s">
        <v>19</v>
      </c>
      <c r="E18" s="411" t="s">
        <v>137</v>
      </c>
      <c r="F18" s="90" t="s">
        <v>13</v>
      </c>
      <c r="G18" s="91">
        <v>3.5</v>
      </c>
      <c r="H18" s="87">
        <f t="shared" si="0"/>
        <v>11.90159</v>
      </c>
      <c r="I18" s="127">
        <v>0</v>
      </c>
      <c r="J18" s="128">
        <v>11.90159</v>
      </c>
      <c r="K18" s="127">
        <v>0</v>
      </c>
      <c r="L18" s="127">
        <v>0</v>
      </c>
    </row>
    <row r="19" spans="1:12" ht="19.5" customHeight="1" hidden="1">
      <c r="A19" s="237"/>
      <c r="B19" s="460"/>
      <c r="C19" s="89">
        <v>226</v>
      </c>
      <c r="D19" s="89" t="s">
        <v>19</v>
      </c>
      <c r="E19" s="411" t="s">
        <v>138</v>
      </c>
      <c r="F19" s="90" t="s">
        <v>13</v>
      </c>
      <c r="G19" s="91">
        <v>2</v>
      </c>
      <c r="H19" s="87">
        <f t="shared" si="0"/>
        <v>9.04727</v>
      </c>
      <c r="I19" s="127">
        <v>0</v>
      </c>
      <c r="J19" s="128">
        <v>9.04727</v>
      </c>
      <c r="K19" s="127">
        <v>0</v>
      </c>
      <c r="L19" s="127">
        <v>0</v>
      </c>
    </row>
    <row r="20" spans="1:12" ht="19.5" customHeight="1" hidden="1">
      <c r="A20" s="237"/>
      <c r="B20" s="460"/>
      <c r="C20" s="89">
        <v>226</v>
      </c>
      <c r="D20" s="89" t="s">
        <v>19</v>
      </c>
      <c r="E20" s="342" t="s">
        <v>139</v>
      </c>
      <c r="F20" s="90" t="s">
        <v>13</v>
      </c>
      <c r="G20" s="91">
        <v>9</v>
      </c>
      <c r="H20" s="87">
        <f t="shared" si="0"/>
        <v>29.6619</v>
      </c>
      <c r="I20" s="127">
        <v>0</v>
      </c>
      <c r="J20" s="128">
        <v>29.6619</v>
      </c>
      <c r="K20" s="127">
        <v>0</v>
      </c>
      <c r="L20" s="127">
        <v>0</v>
      </c>
    </row>
    <row r="21" spans="1:12" ht="19.5" customHeight="1" hidden="1">
      <c r="A21" s="237"/>
      <c r="B21" s="460"/>
      <c r="C21" s="89">
        <v>226</v>
      </c>
      <c r="D21" s="89" t="s">
        <v>19</v>
      </c>
      <c r="E21" s="342" t="s">
        <v>140</v>
      </c>
      <c r="F21" s="90" t="s">
        <v>13</v>
      </c>
      <c r="G21" s="91">
        <v>27.75</v>
      </c>
      <c r="H21" s="87">
        <f t="shared" si="0"/>
        <v>96.37978</v>
      </c>
      <c r="I21" s="127">
        <v>0</v>
      </c>
      <c r="J21" s="128">
        <v>96.37978</v>
      </c>
      <c r="K21" s="127">
        <v>0</v>
      </c>
      <c r="L21" s="127">
        <v>0</v>
      </c>
    </row>
    <row r="22" spans="1:12" ht="19.5" customHeight="1" hidden="1">
      <c r="A22" s="237"/>
      <c r="B22" s="460"/>
      <c r="C22" s="89">
        <v>226</v>
      </c>
      <c r="D22" s="89" t="s">
        <v>19</v>
      </c>
      <c r="E22" s="342" t="s">
        <v>141</v>
      </c>
      <c r="F22" s="90" t="s">
        <v>13</v>
      </c>
      <c r="G22" s="91">
        <v>1.5</v>
      </c>
      <c r="H22" s="87">
        <f t="shared" si="0"/>
        <v>6.01021</v>
      </c>
      <c r="I22" s="127">
        <v>0</v>
      </c>
      <c r="J22" s="128">
        <v>6.01021</v>
      </c>
      <c r="K22" s="127">
        <v>0</v>
      </c>
      <c r="L22" s="127">
        <v>0</v>
      </c>
    </row>
    <row r="23" spans="1:12" ht="19.5" customHeight="1" hidden="1">
      <c r="A23" s="237"/>
      <c r="B23" s="460"/>
      <c r="C23" s="89">
        <v>226</v>
      </c>
      <c r="D23" s="89" t="s">
        <v>19</v>
      </c>
      <c r="E23" s="342" t="s">
        <v>142</v>
      </c>
      <c r="F23" s="90" t="s">
        <v>13</v>
      </c>
      <c r="G23" s="91">
        <v>51.5</v>
      </c>
      <c r="H23" s="87">
        <f t="shared" si="0"/>
        <v>119.32134</v>
      </c>
      <c r="I23" s="127">
        <v>0</v>
      </c>
      <c r="J23" s="128">
        <v>119.32134</v>
      </c>
      <c r="K23" s="127">
        <v>0</v>
      </c>
      <c r="L23" s="127">
        <v>0</v>
      </c>
    </row>
    <row r="24" spans="1:12" ht="19.5" customHeight="1" hidden="1">
      <c r="A24" s="237"/>
      <c r="B24" s="460"/>
      <c r="C24" s="332">
        <v>226</v>
      </c>
      <c r="D24" s="332" t="s">
        <v>19</v>
      </c>
      <c r="E24" s="5" t="s">
        <v>143</v>
      </c>
      <c r="F24" s="334" t="s">
        <v>13</v>
      </c>
      <c r="G24" s="20">
        <v>1</v>
      </c>
      <c r="H24" s="333">
        <f t="shared" si="0"/>
        <v>4.52222</v>
      </c>
      <c r="I24" s="331">
        <v>0</v>
      </c>
      <c r="J24" s="330">
        <v>4.52222</v>
      </c>
      <c r="K24" s="331">
        <v>0</v>
      </c>
      <c r="L24" s="331">
        <v>0</v>
      </c>
    </row>
    <row r="25" spans="1:12" ht="19.5" customHeight="1" hidden="1">
      <c r="A25" s="237"/>
      <c r="B25" s="460"/>
      <c r="C25" s="332">
        <v>226</v>
      </c>
      <c r="D25" s="332" t="s">
        <v>19</v>
      </c>
      <c r="E25" s="5" t="s">
        <v>144</v>
      </c>
      <c r="F25" s="334" t="s">
        <v>13</v>
      </c>
      <c r="G25" s="20">
        <v>9</v>
      </c>
      <c r="H25" s="333">
        <f t="shared" si="0"/>
        <v>33.60788</v>
      </c>
      <c r="I25" s="331">
        <v>0</v>
      </c>
      <c r="J25" s="330">
        <v>33.60788</v>
      </c>
      <c r="K25" s="331">
        <v>0</v>
      </c>
      <c r="L25" s="331">
        <v>0</v>
      </c>
    </row>
    <row r="26" spans="1:12" ht="19.5" customHeight="1" hidden="1">
      <c r="A26" s="237"/>
      <c r="B26" s="460"/>
      <c r="C26" s="332">
        <v>226</v>
      </c>
      <c r="D26" s="332" t="s">
        <v>19</v>
      </c>
      <c r="E26" s="1" t="s">
        <v>145</v>
      </c>
      <c r="F26" s="334" t="s">
        <v>13</v>
      </c>
      <c r="G26" s="20">
        <v>1</v>
      </c>
      <c r="H26" s="333">
        <f t="shared" si="0"/>
        <v>4.52222</v>
      </c>
      <c r="I26" s="331">
        <v>0</v>
      </c>
      <c r="J26" s="330">
        <v>4.52222</v>
      </c>
      <c r="K26" s="331">
        <v>0</v>
      </c>
      <c r="L26" s="331">
        <v>0</v>
      </c>
    </row>
    <row r="27" spans="1:12" ht="19.5" customHeight="1" hidden="1">
      <c r="A27" s="237"/>
      <c r="B27" s="460"/>
      <c r="C27" s="332">
        <v>226</v>
      </c>
      <c r="D27" s="332" t="s">
        <v>19</v>
      </c>
      <c r="E27" s="1" t="s">
        <v>146</v>
      </c>
      <c r="F27" s="334" t="s">
        <v>13</v>
      </c>
      <c r="G27" s="20">
        <v>1.5</v>
      </c>
      <c r="H27" s="333">
        <f t="shared" si="0"/>
        <v>6.01021</v>
      </c>
      <c r="I27" s="331">
        <v>0</v>
      </c>
      <c r="J27" s="330">
        <v>6.01021</v>
      </c>
      <c r="K27" s="331">
        <v>0</v>
      </c>
      <c r="L27" s="331">
        <v>0</v>
      </c>
    </row>
    <row r="28" spans="1:12" ht="19.5" customHeight="1" hidden="1">
      <c r="A28" s="237"/>
      <c r="B28" s="460"/>
      <c r="C28" s="332">
        <v>226</v>
      </c>
      <c r="D28" s="332" t="s">
        <v>19</v>
      </c>
      <c r="E28" s="1" t="s">
        <v>147</v>
      </c>
      <c r="F28" s="334" t="s">
        <v>13</v>
      </c>
      <c r="G28" s="20">
        <v>10.5</v>
      </c>
      <c r="H28" s="333">
        <f t="shared" si="0"/>
        <v>24.62228</v>
      </c>
      <c r="I28" s="331">
        <v>0</v>
      </c>
      <c r="J28" s="330">
        <v>24.62228</v>
      </c>
      <c r="K28" s="331">
        <v>0</v>
      </c>
      <c r="L28" s="331">
        <v>0</v>
      </c>
    </row>
    <row r="29" spans="1:12" ht="19.5" customHeight="1" hidden="1">
      <c r="A29" s="237"/>
      <c r="B29" s="460"/>
      <c r="C29" s="332">
        <v>226</v>
      </c>
      <c r="D29" s="332" t="s">
        <v>19</v>
      </c>
      <c r="E29" s="1" t="s">
        <v>148</v>
      </c>
      <c r="F29" s="334" t="s">
        <v>13</v>
      </c>
      <c r="G29" s="20">
        <v>8.5</v>
      </c>
      <c r="H29" s="333">
        <f t="shared" si="0"/>
        <v>31.36255</v>
      </c>
      <c r="I29" s="331">
        <v>0</v>
      </c>
      <c r="J29" s="330">
        <v>31.36255</v>
      </c>
      <c r="K29" s="331">
        <v>0</v>
      </c>
      <c r="L29" s="331">
        <v>0</v>
      </c>
    </row>
    <row r="30" spans="1:12" ht="19.5" customHeight="1" hidden="1">
      <c r="A30" s="237"/>
      <c r="B30" s="460"/>
      <c r="C30" s="89">
        <v>226</v>
      </c>
      <c r="D30" s="89" t="s">
        <v>19</v>
      </c>
      <c r="E30" s="342" t="s">
        <v>149</v>
      </c>
      <c r="F30" s="90" t="s">
        <v>13</v>
      </c>
      <c r="G30" s="91">
        <f>4+5</f>
        <v>9</v>
      </c>
      <c r="H30" s="87">
        <f t="shared" si="0"/>
        <v>27.71399</v>
      </c>
      <c r="I30" s="127">
        <v>0</v>
      </c>
      <c r="J30" s="128">
        <v>27.71399</v>
      </c>
      <c r="K30" s="127">
        <v>0</v>
      </c>
      <c r="L30" s="127">
        <v>0</v>
      </c>
    </row>
    <row r="31" spans="1:12" ht="19.5" customHeight="1" hidden="1">
      <c r="A31" s="237"/>
      <c r="B31" s="460"/>
      <c r="C31" s="89">
        <v>226</v>
      </c>
      <c r="D31" s="89" t="s">
        <v>19</v>
      </c>
      <c r="E31" s="342" t="s">
        <v>150</v>
      </c>
      <c r="F31" s="90" t="s">
        <v>13</v>
      </c>
      <c r="G31" s="91">
        <f>16.75+170.67</f>
        <v>187.42</v>
      </c>
      <c r="H31" s="87">
        <f t="shared" si="0"/>
        <v>320.78738</v>
      </c>
      <c r="I31" s="127">
        <v>0</v>
      </c>
      <c r="J31" s="128">
        <v>320.78738</v>
      </c>
      <c r="K31" s="127">
        <v>0</v>
      </c>
      <c r="L31" s="127">
        <v>0</v>
      </c>
    </row>
    <row r="32" spans="1:12" ht="19.5" customHeight="1" hidden="1">
      <c r="A32" s="237"/>
      <c r="B32" s="460"/>
      <c r="C32" s="89">
        <v>226</v>
      </c>
      <c r="D32" s="89" t="s">
        <v>19</v>
      </c>
      <c r="E32" s="342" t="s">
        <v>134</v>
      </c>
      <c r="F32" s="90" t="s">
        <v>13</v>
      </c>
      <c r="G32" s="91">
        <v>7</v>
      </c>
      <c r="H32" s="87">
        <f t="shared" si="0"/>
        <v>25.35196</v>
      </c>
      <c r="I32" s="127">
        <v>0</v>
      </c>
      <c r="J32" s="128">
        <v>25.35196</v>
      </c>
      <c r="K32" s="127">
        <v>0</v>
      </c>
      <c r="L32" s="127">
        <v>0</v>
      </c>
    </row>
    <row r="33" spans="1:12" ht="19.5" customHeight="1" hidden="1">
      <c r="A33" s="237"/>
      <c r="B33" s="460"/>
      <c r="C33" s="89">
        <v>226</v>
      </c>
      <c r="D33" s="89" t="s">
        <v>19</v>
      </c>
      <c r="E33" s="342" t="s">
        <v>151</v>
      </c>
      <c r="F33" s="90" t="s">
        <v>13</v>
      </c>
      <c r="G33" s="91">
        <v>9.9</v>
      </c>
      <c r="H33" s="87">
        <f t="shared" si="0"/>
        <v>28.68264</v>
      </c>
      <c r="I33" s="127">
        <v>0</v>
      </c>
      <c r="J33" s="128">
        <v>28.68264</v>
      </c>
      <c r="K33" s="127">
        <v>0</v>
      </c>
      <c r="L33" s="127">
        <v>0</v>
      </c>
    </row>
    <row r="34" spans="1:12" ht="19.5" customHeight="1" hidden="1">
      <c r="A34" s="237"/>
      <c r="B34" s="460"/>
      <c r="C34" s="89">
        <v>226</v>
      </c>
      <c r="D34" s="89" t="s">
        <v>19</v>
      </c>
      <c r="E34" s="342" t="s">
        <v>152</v>
      </c>
      <c r="F34" s="90" t="s">
        <v>13</v>
      </c>
      <c r="G34" s="91">
        <v>16.5</v>
      </c>
      <c r="H34" s="87">
        <f t="shared" si="0"/>
        <v>35.9777</v>
      </c>
      <c r="I34" s="127">
        <v>0</v>
      </c>
      <c r="J34" s="128">
        <v>35.9777</v>
      </c>
      <c r="K34" s="127">
        <v>0</v>
      </c>
      <c r="L34" s="127">
        <v>0</v>
      </c>
    </row>
    <row r="35" spans="1:12" ht="19.5" customHeight="1" hidden="1">
      <c r="A35" s="237"/>
      <c r="B35" s="460"/>
      <c r="C35" s="89">
        <v>226</v>
      </c>
      <c r="D35" s="89" t="s">
        <v>19</v>
      </c>
      <c r="E35" s="342" t="s">
        <v>153</v>
      </c>
      <c r="F35" s="90" t="s">
        <v>13</v>
      </c>
      <c r="G35" s="91">
        <v>36</v>
      </c>
      <c r="H35" s="87">
        <f t="shared" si="0"/>
        <v>80.7601</v>
      </c>
      <c r="I35" s="127">
        <v>0</v>
      </c>
      <c r="J35" s="128">
        <v>80.7601</v>
      </c>
      <c r="K35" s="127">
        <v>0</v>
      </c>
      <c r="L35" s="127">
        <v>0</v>
      </c>
    </row>
    <row r="36" spans="1:12" ht="19.5" customHeight="1" hidden="1">
      <c r="A36" s="237"/>
      <c r="B36" s="460"/>
      <c r="C36" s="332">
        <v>226</v>
      </c>
      <c r="D36" s="332" t="s">
        <v>19</v>
      </c>
      <c r="E36" s="1" t="s">
        <v>154</v>
      </c>
      <c r="F36" s="334" t="s">
        <v>13</v>
      </c>
      <c r="G36" s="20">
        <v>5.5</v>
      </c>
      <c r="H36" s="333">
        <f t="shared" si="0"/>
        <v>20.15861</v>
      </c>
      <c r="I36" s="331">
        <v>0</v>
      </c>
      <c r="J36" s="330">
        <v>20.15861</v>
      </c>
      <c r="K36" s="331">
        <v>0</v>
      </c>
      <c r="L36" s="331">
        <v>0</v>
      </c>
    </row>
    <row r="37" spans="1:12" ht="19.5" customHeight="1" hidden="1">
      <c r="A37" s="237"/>
      <c r="B37" s="460"/>
      <c r="C37" s="332">
        <v>226</v>
      </c>
      <c r="D37" s="332" t="s">
        <v>19</v>
      </c>
      <c r="E37" s="1" t="s">
        <v>155</v>
      </c>
      <c r="F37" s="334" t="s">
        <v>13</v>
      </c>
      <c r="G37" s="20">
        <v>14.5</v>
      </c>
      <c r="H37" s="333">
        <f t="shared" si="0"/>
        <v>41.92746</v>
      </c>
      <c r="I37" s="331">
        <v>0</v>
      </c>
      <c r="J37" s="330">
        <v>41.92746</v>
      </c>
      <c r="K37" s="331">
        <v>0</v>
      </c>
      <c r="L37" s="331">
        <v>0</v>
      </c>
    </row>
    <row r="38" spans="1:12" ht="19.5" customHeight="1" hidden="1">
      <c r="A38" s="237"/>
      <c r="B38" s="460"/>
      <c r="C38" s="332">
        <v>226</v>
      </c>
      <c r="D38" s="332" t="s">
        <v>19</v>
      </c>
      <c r="E38" s="1" t="s">
        <v>156</v>
      </c>
      <c r="F38" s="334" t="s">
        <v>13</v>
      </c>
      <c r="G38" s="20">
        <v>19.5</v>
      </c>
      <c r="H38" s="333">
        <f t="shared" si="0"/>
        <v>54.2831</v>
      </c>
      <c r="I38" s="331">
        <v>0</v>
      </c>
      <c r="J38" s="330">
        <v>54.2831</v>
      </c>
      <c r="K38" s="331">
        <v>0</v>
      </c>
      <c r="L38" s="331">
        <v>0</v>
      </c>
    </row>
    <row r="39" spans="1:12" ht="19.5" customHeight="1" hidden="1">
      <c r="A39" s="237"/>
      <c r="B39" s="460"/>
      <c r="C39" s="332">
        <v>226</v>
      </c>
      <c r="D39" s="332" t="s">
        <v>19</v>
      </c>
      <c r="E39" s="1" t="s">
        <v>157</v>
      </c>
      <c r="F39" s="334" t="s">
        <v>13</v>
      </c>
      <c r="G39" s="20">
        <v>18.75</v>
      </c>
      <c r="H39" s="333">
        <f aca="true" t="shared" si="1" ref="H39:H70">SUM(I39:L39)</f>
        <v>18.75</v>
      </c>
      <c r="I39" s="331">
        <v>0</v>
      </c>
      <c r="J39" s="330">
        <v>18.75</v>
      </c>
      <c r="K39" s="331">
        <v>0</v>
      </c>
      <c r="L39" s="331">
        <v>0</v>
      </c>
    </row>
    <row r="40" spans="1:12" ht="19.5" customHeight="1" hidden="1">
      <c r="A40" s="237"/>
      <c r="B40" s="460"/>
      <c r="C40" s="430">
        <v>226</v>
      </c>
      <c r="D40" s="430" t="s">
        <v>19</v>
      </c>
      <c r="E40" s="431" t="s">
        <v>160</v>
      </c>
      <c r="F40" s="432" t="s">
        <v>13</v>
      </c>
      <c r="G40" s="433">
        <v>6.5</v>
      </c>
      <c r="H40" s="434">
        <f t="shared" si="1"/>
        <v>23.89422</v>
      </c>
      <c r="I40" s="436">
        <v>0</v>
      </c>
      <c r="J40" s="437">
        <v>23.89422</v>
      </c>
      <c r="K40" s="436">
        <v>0</v>
      </c>
      <c r="L40" s="436">
        <v>0</v>
      </c>
    </row>
    <row r="41" spans="1:12" ht="19.5" customHeight="1" hidden="1">
      <c r="A41" s="237"/>
      <c r="B41" s="460"/>
      <c r="C41" s="430">
        <v>226</v>
      </c>
      <c r="D41" s="430" t="s">
        <v>19</v>
      </c>
      <c r="E41" s="431" t="s">
        <v>161</v>
      </c>
      <c r="F41" s="432" t="s">
        <v>13</v>
      </c>
      <c r="G41" s="433">
        <v>52.15</v>
      </c>
      <c r="H41" s="438">
        <f t="shared" si="1"/>
        <v>160.01179</v>
      </c>
      <c r="I41" s="436">
        <v>0</v>
      </c>
      <c r="J41" s="437">
        <v>160.01179</v>
      </c>
      <c r="K41" s="436">
        <v>0</v>
      </c>
      <c r="L41" s="436">
        <v>0</v>
      </c>
    </row>
    <row r="42" spans="1:12" ht="19.5" customHeight="1" hidden="1">
      <c r="A42" s="237"/>
      <c r="B42" s="460"/>
      <c r="C42" s="430">
        <v>226</v>
      </c>
      <c r="D42" s="430" t="s">
        <v>19</v>
      </c>
      <c r="E42" s="446" t="s">
        <v>162</v>
      </c>
      <c r="F42" s="432" t="s">
        <v>13</v>
      </c>
      <c r="G42" s="433">
        <v>4.5</v>
      </c>
      <c r="H42" s="434">
        <f t="shared" si="1"/>
        <v>15.63499</v>
      </c>
      <c r="I42" s="436">
        <v>0</v>
      </c>
      <c r="J42" s="439">
        <v>15.63499</v>
      </c>
      <c r="K42" s="436">
        <v>0</v>
      </c>
      <c r="L42" s="436">
        <v>0</v>
      </c>
    </row>
    <row r="43" spans="1:12" ht="19.5" customHeight="1" hidden="1">
      <c r="A43" s="237"/>
      <c r="B43" s="460"/>
      <c r="C43" s="430">
        <v>226</v>
      </c>
      <c r="D43" s="430" t="s">
        <v>19</v>
      </c>
      <c r="E43" s="446" t="s">
        <v>163</v>
      </c>
      <c r="F43" s="432" t="s">
        <v>13</v>
      </c>
      <c r="G43" s="433">
        <v>10.54</v>
      </c>
      <c r="H43" s="434">
        <f t="shared" si="1"/>
        <v>30.14845</v>
      </c>
      <c r="I43" s="436">
        <v>0</v>
      </c>
      <c r="J43" s="439">
        <v>30.14845</v>
      </c>
      <c r="K43" s="436">
        <v>0</v>
      </c>
      <c r="L43" s="436">
        <v>0</v>
      </c>
    </row>
    <row r="44" spans="1:12" ht="19.5" customHeight="1" hidden="1">
      <c r="A44" s="237"/>
      <c r="B44" s="460"/>
      <c r="C44" s="430">
        <v>226</v>
      </c>
      <c r="D44" s="430" t="s">
        <v>19</v>
      </c>
      <c r="E44" s="446" t="s">
        <v>164</v>
      </c>
      <c r="F44" s="432" t="s">
        <v>13</v>
      </c>
      <c r="G44" s="433">
        <v>3.25</v>
      </c>
      <c r="H44" s="434">
        <f t="shared" si="1"/>
        <v>12.37615</v>
      </c>
      <c r="I44" s="436">
        <v>0</v>
      </c>
      <c r="J44" s="439">
        <v>12.37615</v>
      </c>
      <c r="K44" s="436">
        <v>0</v>
      </c>
      <c r="L44" s="436">
        <v>0</v>
      </c>
    </row>
    <row r="45" spans="1:12" ht="19.5" customHeight="1" hidden="1">
      <c r="A45" s="237"/>
      <c r="B45" s="460"/>
      <c r="C45" s="430">
        <v>226</v>
      </c>
      <c r="D45" s="430" t="s">
        <v>19</v>
      </c>
      <c r="E45" s="446" t="s">
        <v>165</v>
      </c>
      <c r="F45" s="432" t="s">
        <v>13</v>
      </c>
      <c r="G45" s="433">
        <v>1</v>
      </c>
      <c r="H45" s="434">
        <f t="shared" si="1"/>
        <v>4.52222</v>
      </c>
      <c r="I45" s="436">
        <v>0</v>
      </c>
      <c r="J45" s="439">
        <v>4.52222</v>
      </c>
      <c r="K45" s="436">
        <v>0</v>
      </c>
      <c r="L45" s="436">
        <v>0</v>
      </c>
    </row>
    <row r="46" spans="1:12" ht="19.5" customHeight="1" hidden="1">
      <c r="A46" s="237"/>
      <c r="B46" s="460"/>
      <c r="C46" s="430">
        <v>226</v>
      </c>
      <c r="D46" s="430" t="s">
        <v>19</v>
      </c>
      <c r="E46" s="446" t="s">
        <v>166</v>
      </c>
      <c r="F46" s="432" t="s">
        <v>13</v>
      </c>
      <c r="G46" s="433">
        <v>1</v>
      </c>
      <c r="H46" s="434">
        <f t="shared" si="1"/>
        <v>4.52222</v>
      </c>
      <c r="I46" s="436">
        <v>0</v>
      </c>
      <c r="J46" s="439">
        <v>4.52222</v>
      </c>
      <c r="K46" s="436">
        <v>0</v>
      </c>
      <c r="L46" s="436">
        <v>0</v>
      </c>
    </row>
    <row r="47" spans="1:12" ht="19.5" customHeight="1" hidden="1">
      <c r="A47" s="237"/>
      <c r="B47" s="460"/>
      <c r="C47" s="430">
        <v>226</v>
      </c>
      <c r="D47" s="430" t="s">
        <v>19</v>
      </c>
      <c r="E47" s="446" t="s">
        <v>167</v>
      </c>
      <c r="F47" s="432" t="s">
        <v>13</v>
      </c>
      <c r="G47" s="433">
        <v>9.75</v>
      </c>
      <c r="H47" s="434">
        <f t="shared" si="1"/>
        <v>33.05309</v>
      </c>
      <c r="I47" s="436">
        <v>0</v>
      </c>
      <c r="J47" s="437">
        <v>33.05309</v>
      </c>
      <c r="K47" s="436">
        <v>0</v>
      </c>
      <c r="L47" s="436">
        <v>0</v>
      </c>
    </row>
    <row r="48" spans="1:12" ht="19.5" customHeight="1" hidden="1">
      <c r="A48" s="237"/>
      <c r="B48" s="460"/>
      <c r="C48" s="430">
        <v>226</v>
      </c>
      <c r="D48" s="430" t="s">
        <v>19</v>
      </c>
      <c r="E48" s="446" t="s">
        <v>168</v>
      </c>
      <c r="F48" s="432" t="s">
        <v>13</v>
      </c>
      <c r="G48" s="433">
        <v>18.5</v>
      </c>
      <c r="H48" s="434">
        <f t="shared" si="1"/>
        <v>39.48485</v>
      </c>
      <c r="I48" s="436">
        <v>0</v>
      </c>
      <c r="J48" s="440">
        <v>39.48485</v>
      </c>
      <c r="K48" s="436">
        <v>0</v>
      </c>
      <c r="L48" s="436">
        <v>0</v>
      </c>
    </row>
    <row r="49" spans="1:12" ht="19.5" customHeight="1" hidden="1">
      <c r="A49" s="237"/>
      <c r="B49" s="460"/>
      <c r="C49" s="430">
        <v>226</v>
      </c>
      <c r="D49" s="430" t="s">
        <v>19</v>
      </c>
      <c r="E49" s="446" t="s">
        <v>169</v>
      </c>
      <c r="F49" s="432" t="s">
        <v>13</v>
      </c>
      <c r="G49" s="433">
        <v>0.5</v>
      </c>
      <c r="H49" s="434">
        <f t="shared" si="1"/>
        <v>4.06457</v>
      </c>
      <c r="I49" s="436">
        <v>0</v>
      </c>
      <c r="J49" s="439">
        <v>4.06457</v>
      </c>
      <c r="K49" s="436">
        <v>0</v>
      </c>
      <c r="L49" s="436">
        <v>0</v>
      </c>
    </row>
    <row r="50" spans="1:12" ht="19.5" customHeight="1" hidden="1">
      <c r="A50" s="237"/>
      <c r="B50" s="460"/>
      <c r="C50" s="430">
        <v>226</v>
      </c>
      <c r="D50" s="430" t="s">
        <v>19</v>
      </c>
      <c r="E50" s="446" t="s">
        <v>170</v>
      </c>
      <c r="F50" s="432" t="s">
        <v>13</v>
      </c>
      <c r="G50" s="433">
        <v>1</v>
      </c>
      <c r="H50" s="434">
        <f t="shared" si="1"/>
        <v>4.52222</v>
      </c>
      <c r="I50" s="436">
        <v>0</v>
      </c>
      <c r="J50" s="439">
        <v>4.52222</v>
      </c>
      <c r="K50" s="436">
        <v>0</v>
      </c>
      <c r="L50" s="436">
        <v>0</v>
      </c>
    </row>
    <row r="51" spans="1:12" ht="19.5" customHeight="1" hidden="1">
      <c r="A51" s="237"/>
      <c r="B51" s="460"/>
      <c r="C51" s="430">
        <v>226</v>
      </c>
      <c r="D51" s="430" t="s">
        <v>19</v>
      </c>
      <c r="E51" s="446" t="s">
        <v>171</v>
      </c>
      <c r="F51" s="432" t="s">
        <v>13</v>
      </c>
      <c r="G51" s="433">
        <v>12.5</v>
      </c>
      <c r="H51" s="434">
        <f t="shared" si="1"/>
        <v>36.03794</v>
      </c>
      <c r="I51" s="436">
        <v>0</v>
      </c>
      <c r="J51" s="439">
        <v>36.03794</v>
      </c>
      <c r="K51" s="436">
        <v>0</v>
      </c>
      <c r="L51" s="436">
        <v>0</v>
      </c>
    </row>
    <row r="52" spans="1:12" ht="19.5" customHeight="1" hidden="1">
      <c r="A52" s="237"/>
      <c r="B52" s="460"/>
      <c r="C52" s="430">
        <v>226</v>
      </c>
      <c r="D52" s="430" t="s">
        <v>19</v>
      </c>
      <c r="E52" s="431" t="s">
        <v>172</v>
      </c>
      <c r="F52" s="432" t="s">
        <v>13</v>
      </c>
      <c r="G52" s="433">
        <v>31.5</v>
      </c>
      <c r="H52" s="434">
        <f t="shared" si="1"/>
        <v>68.3134</v>
      </c>
      <c r="I52" s="436">
        <v>0</v>
      </c>
      <c r="J52" s="439">
        <v>68.3134</v>
      </c>
      <c r="K52" s="436">
        <v>0</v>
      </c>
      <c r="L52" s="436">
        <v>0</v>
      </c>
    </row>
    <row r="53" spans="1:12" ht="19.5" customHeight="1" hidden="1">
      <c r="A53" s="237"/>
      <c r="B53" s="169"/>
      <c r="C53" s="430">
        <v>226</v>
      </c>
      <c r="D53" s="430" t="s">
        <v>19</v>
      </c>
      <c r="E53" s="431" t="s">
        <v>173</v>
      </c>
      <c r="F53" s="432" t="s">
        <v>13</v>
      </c>
      <c r="G53" s="433">
        <v>9.5</v>
      </c>
      <c r="H53" s="434">
        <f t="shared" si="1"/>
        <v>37.46262</v>
      </c>
      <c r="I53" s="436">
        <v>0</v>
      </c>
      <c r="J53" s="439">
        <v>37.46262</v>
      </c>
      <c r="K53" s="436">
        <v>0</v>
      </c>
      <c r="L53" s="436">
        <v>0</v>
      </c>
    </row>
    <row r="54" spans="1:12" ht="19.5" customHeight="1" hidden="1">
      <c r="A54" s="237"/>
      <c r="B54" s="169"/>
      <c r="C54" s="430">
        <v>226</v>
      </c>
      <c r="D54" s="430" t="s">
        <v>19</v>
      </c>
      <c r="E54" s="431" t="s">
        <v>174</v>
      </c>
      <c r="F54" s="432" t="s">
        <v>13</v>
      </c>
      <c r="G54" s="433">
        <v>20.25</v>
      </c>
      <c r="H54" s="434">
        <f t="shared" si="1"/>
        <v>45.0337</v>
      </c>
      <c r="I54" s="436">
        <v>0</v>
      </c>
      <c r="J54" s="439">
        <v>45.0337</v>
      </c>
      <c r="K54" s="436">
        <v>0</v>
      </c>
      <c r="L54" s="436">
        <v>0</v>
      </c>
    </row>
    <row r="55" spans="1:12" ht="19.5" customHeight="1" hidden="1">
      <c r="A55" s="237"/>
      <c r="B55" s="169"/>
      <c r="C55" s="430">
        <v>226</v>
      </c>
      <c r="D55" s="430" t="s">
        <v>19</v>
      </c>
      <c r="E55" s="431" t="s">
        <v>175</v>
      </c>
      <c r="F55" s="432" t="s">
        <v>13</v>
      </c>
      <c r="G55" s="433">
        <v>1</v>
      </c>
      <c r="H55" s="434">
        <f t="shared" si="1"/>
        <v>4.52222</v>
      </c>
      <c r="I55" s="436">
        <v>0</v>
      </c>
      <c r="J55" s="439">
        <v>4.52222</v>
      </c>
      <c r="K55" s="436">
        <v>0</v>
      </c>
      <c r="L55" s="436">
        <v>0</v>
      </c>
    </row>
    <row r="56" spans="1:12" ht="19.5" customHeight="1" hidden="1">
      <c r="A56" s="237"/>
      <c r="B56" s="169"/>
      <c r="C56" s="430">
        <v>226</v>
      </c>
      <c r="D56" s="430" t="s">
        <v>19</v>
      </c>
      <c r="E56" s="431" t="s">
        <v>176</v>
      </c>
      <c r="F56" s="432" t="s">
        <v>13</v>
      </c>
      <c r="G56" s="433">
        <v>7.75</v>
      </c>
      <c r="H56" s="434">
        <f t="shared" si="1"/>
        <v>27.95282</v>
      </c>
      <c r="I56" s="436">
        <v>0</v>
      </c>
      <c r="J56" s="439">
        <v>27.95282</v>
      </c>
      <c r="K56" s="436">
        <v>0</v>
      </c>
      <c r="L56" s="436">
        <v>0</v>
      </c>
    </row>
    <row r="57" spans="1:12" ht="19.5" customHeight="1" hidden="1">
      <c r="A57" s="237"/>
      <c r="B57" s="169"/>
      <c r="C57" s="430">
        <v>226</v>
      </c>
      <c r="D57" s="430" t="s">
        <v>19</v>
      </c>
      <c r="E57" s="431" t="s">
        <v>177</v>
      </c>
      <c r="F57" s="432" t="s">
        <v>13</v>
      </c>
      <c r="G57" s="433">
        <v>16.25</v>
      </c>
      <c r="H57" s="434">
        <f t="shared" si="1"/>
        <v>55.35594</v>
      </c>
      <c r="I57" s="436">
        <v>0</v>
      </c>
      <c r="J57" s="439">
        <v>55.35594</v>
      </c>
      <c r="K57" s="436">
        <v>0</v>
      </c>
      <c r="L57" s="436">
        <v>0</v>
      </c>
    </row>
    <row r="58" spans="1:12" ht="19.5" customHeight="1" hidden="1">
      <c r="A58" s="237"/>
      <c r="B58" s="169"/>
      <c r="C58" s="430">
        <v>226</v>
      </c>
      <c r="D58" s="430" t="s">
        <v>19</v>
      </c>
      <c r="E58" s="431" t="s">
        <v>178</v>
      </c>
      <c r="F58" s="432" t="s">
        <v>13</v>
      </c>
      <c r="G58" s="433">
        <v>5</v>
      </c>
      <c r="H58" s="434">
        <f t="shared" si="1"/>
        <v>21.03919</v>
      </c>
      <c r="I58" s="436">
        <v>0</v>
      </c>
      <c r="J58" s="439">
        <v>21.03919</v>
      </c>
      <c r="K58" s="436">
        <v>0</v>
      </c>
      <c r="L58" s="436">
        <v>0</v>
      </c>
    </row>
    <row r="59" spans="1:12" ht="19.5" customHeight="1" hidden="1">
      <c r="A59" s="492"/>
      <c r="B59" s="447"/>
      <c r="C59" s="429">
        <v>226</v>
      </c>
      <c r="D59" s="430" t="s">
        <v>19</v>
      </c>
      <c r="E59" s="431" t="s">
        <v>179</v>
      </c>
      <c r="F59" s="441" t="s">
        <v>13</v>
      </c>
      <c r="G59" s="433">
        <v>4</v>
      </c>
      <c r="H59" s="434">
        <f t="shared" si="1"/>
        <v>14.93732</v>
      </c>
      <c r="I59" s="436">
        <v>0</v>
      </c>
      <c r="J59" s="436">
        <v>14.93732</v>
      </c>
      <c r="K59" s="439">
        <v>0</v>
      </c>
      <c r="L59" s="436">
        <v>0</v>
      </c>
    </row>
    <row r="60" spans="1:12" ht="19.5" customHeight="1" hidden="1">
      <c r="A60" s="492"/>
      <c r="B60" s="447"/>
      <c r="C60" s="429">
        <v>226</v>
      </c>
      <c r="D60" s="430" t="s">
        <v>19</v>
      </c>
      <c r="E60" s="431" t="s">
        <v>180</v>
      </c>
      <c r="F60" s="432" t="s">
        <v>13</v>
      </c>
      <c r="G60" s="433">
        <v>1.5</v>
      </c>
      <c r="H60" s="434">
        <f t="shared" si="1"/>
        <v>5.99412</v>
      </c>
      <c r="I60" s="436">
        <v>0</v>
      </c>
      <c r="J60" s="439">
        <v>5.99412</v>
      </c>
      <c r="K60" s="436">
        <v>0</v>
      </c>
      <c r="L60" s="436">
        <v>0</v>
      </c>
    </row>
    <row r="61" spans="1:12" ht="19.5" customHeight="1" hidden="1">
      <c r="A61" s="492"/>
      <c r="B61" s="447"/>
      <c r="C61" s="329">
        <v>226</v>
      </c>
      <c r="D61" s="332" t="s">
        <v>19</v>
      </c>
      <c r="E61" s="1" t="s">
        <v>181</v>
      </c>
      <c r="F61" s="334" t="s">
        <v>13</v>
      </c>
      <c r="G61" s="20">
        <v>8</v>
      </c>
      <c r="H61" s="333">
        <f t="shared" si="1"/>
        <v>29.87429</v>
      </c>
      <c r="I61" s="331">
        <v>0</v>
      </c>
      <c r="J61" s="330">
        <v>29.87429</v>
      </c>
      <c r="K61" s="331">
        <v>0</v>
      </c>
      <c r="L61" s="331">
        <v>0</v>
      </c>
    </row>
    <row r="62" spans="1:12" ht="19.5" customHeight="1" hidden="1">
      <c r="A62" s="492"/>
      <c r="B62" s="447"/>
      <c r="C62" s="329">
        <v>226</v>
      </c>
      <c r="D62" s="332" t="s">
        <v>19</v>
      </c>
      <c r="E62" s="1" t="s">
        <v>182</v>
      </c>
      <c r="F62" s="334" t="s">
        <v>13</v>
      </c>
      <c r="G62" s="20">
        <v>5.5</v>
      </c>
      <c r="H62" s="333">
        <f t="shared" si="1"/>
        <v>20.14256</v>
      </c>
      <c r="I62" s="331">
        <v>0</v>
      </c>
      <c r="J62" s="428">
        <v>20.14256</v>
      </c>
      <c r="K62" s="330">
        <v>0</v>
      </c>
      <c r="L62" s="331">
        <v>0</v>
      </c>
    </row>
    <row r="63" spans="1:12" ht="19.5" customHeight="1" hidden="1">
      <c r="A63" s="492"/>
      <c r="B63" s="447"/>
      <c r="C63" s="329">
        <v>226</v>
      </c>
      <c r="D63" s="332" t="s">
        <v>19</v>
      </c>
      <c r="E63" s="1" t="s">
        <v>183</v>
      </c>
      <c r="F63" s="334" t="s">
        <v>13</v>
      </c>
      <c r="G63" s="20">
        <v>5.25</v>
      </c>
      <c r="H63" s="333">
        <f t="shared" si="1"/>
        <v>21.38214</v>
      </c>
      <c r="I63" s="331">
        <v>0</v>
      </c>
      <c r="J63" s="330">
        <v>21.38214</v>
      </c>
      <c r="K63" s="330">
        <v>0</v>
      </c>
      <c r="L63" s="330">
        <v>0</v>
      </c>
    </row>
    <row r="64" spans="1:12" ht="19.5" customHeight="1" hidden="1">
      <c r="A64" s="492"/>
      <c r="B64" s="447"/>
      <c r="C64" s="329">
        <v>226</v>
      </c>
      <c r="D64" s="332" t="s">
        <v>19</v>
      </c>
      <c r="E64" s="1" t="s">
        <v>184</v>
      </c>
      <c r="F64" s="334" t="s">
        <v>13</v>
      </c>
      <c r="G64" s="20">
        <v>65.55</v>
      </c>
      <c r="H64" s="333">
        <f t="shared" si="1"/>
        <v>148.78921</v>
      </c>
      <c r="I64" s="331">
        <v>0</v>
      </c>
      <c r="J64" s="330">
        <v>148.78921</v>
      </c>
      <c r="K64" s="330">
        <v>0</v>
      </c>
      <c r="L64" s="330">
        <v>0</v>
      </c>
    </row>
    <row r="65" spans="1:12" ht="19.5" customHeight="1" hidden="1">
      <c r="A65" s="492"/>
      <c r="B65" s="447"/>
      <c r="C65" s="429">
        <v>226</v>
      </c>
      <c r="D65" s="430" t="s">
        <v>19</v>
      </c>
      <c r="E65" s="431" t="s">
        <v>185</v>
      </c>
      <c r="F65" s="432" t="s">
        <v>13</v>
      </c>
      <c r="G65" s="433">
        <v>32.5</v>
      </c>
      <c r="H65" s="434">
        <f t="shared" si="1"/>
        <v>98.86586</v>
      </c>
      <c r="I65" s="436">
        <v>0</v>
      </c>
      <c r="J65" s="439">
        <v>98.86586</v>
      </c>
      <c r="K65" s="439">
        <v>0</v>
      </c>
      <c r="L65" s="439">
        <v>0</v>
      </c>
    </row>
    <row r="66" spans="1:12" ht="19.5" customHeight="1" hidden="1">
      <c r="A66" s="492"/>
      <c r="B66" s="447"/>
      <c r="C66" s="429">
        <v>226</v>
      </c>
      <c r="D66" s="430" t="s">
        <v>19</v>
      </c>
      <c r="E66" s="431" t="s">
        <v>186</v>
      </c>
      <c r="F66" s="432" t="s">
        <v>13</v>
      </c>
      <c r="G66" s="433">
        <v>1</v>
      </c>
      <c r="H66" s="434">
        <f t="shared" si="1"/>
        <v>4.52222</v>
      </c>
      <c r="I66" s="436">
        <v>0</v>
      </c>
      <c r="J66" s="439">
        <v>4.52222</v>
      </c>
      <c r="K66" s="439">
        <v>0</v>
      </c>
      <c r="L66" s="439">
        <v>0</v>
      </c>
    </row>
    <row r="67" spans="1:12" ht="19.5" customHeight="1" hidden="1">
      <c r="A67" s="492"/>
      <c r="B67" s="447"/>
      <c r="C67" s="429">
        <v>226</v>
      </c>
      <c r="D67" s="430" t="s">
        <v>19</v>
      </c>
      <c r="E67" s="431" t="s">
        <v>187</v>
      </c>
      <c r="F67" s="432" t="s">
        <v>13</v>
      </c>
      <c r="G67" s="433">
        <v>3.5</v>
      </c>
      <c r="H67" s="434">
        <f t="shared" si="1"/>
        <v>15.042254</v>
      </c>
      <c r="I67" s="436">
        <v>0</v>
      </c>
      <c r="J67" s="439">
        <v>15.042254</v>
      </c>
      <c r="K67" s="439">
        <v>0</v>
      </c>
      <c r="L67" s="439">
        <v>0</v>
      </c>
    </row>
    <row r="68" spans="1:12" ht="19.5" customHeight="1" hidden="1">
      <c r="A68" s="492"/>
      <c r="B68" s="447"/>
      <c r="C68" s="429">
        <v>226</v>
      </c>
      <c r="D68" s="430" t="s">
        <v>19</v>
      </c>
      <c r="E68" s="431" t="s">
        <v>188</v>
      </c>
      <c r="F68" s="432" t="s">
        <v>13</v>
      </c>
      <c r="G68" s="433">
        <v>22.5</v>
      </c>
      <c r="H68" s="434">
        <f t="shared" si="1"/>
        <v>56.02997</v>
      </c>
      <c r="I68" s="436">
        <v>0</v>
      </c>
      <c r="J68" s="439">
        <v>56.02997</v>
      </c>
      <c r="K68" s="439">
        <v>0</v>
      </c>
      <c r="L68" s="439">
        <v>0</v>
      </c>
    </row>
    <row r="69" spans="1:12" ht="19.5" customHeight="1" hidden="1">
      <c r="A69" s="492"/>
      <c r="B69" s="447"/>
      <c r="C69" s="429">
        <v>226</v>
      </c>
      <c r="D69" s="430" t="s">
        <v>19</v>
      </c>
      <c r="E69" s="431" t="s">
        <v>189</v>
      </c>
      <c r="F69" s="432" t="s">
        <v>13</v>
      </c>
      <c r="G69" s="433">
        <v>1</v>
      </c>
      <c r="H69" s="434">
        <f t="shared" si="1"/>
        <v>4.52222</v>
      </c>
      <c r="I69" s="436">
        <v>0</v>
      </c>
      <c r="J69" s="439">
        <v>4.52222</v>
      </c>
      <c r="K69" s="439">
        <v>0</v>
      </c>
      <c r="L69" s="439">
        <v>0</v>
      </c>
    </row>
    <row r="70" spans="1:12" ht="19.5" customHeight="1" hidden="1">
      <c r="A70" s="492"/>
      <c r="B70" s="447"/>
      <c r="C70" s="429">
        <v>226</v>
      </c>
      <c r="D70" s="430" t="s">
        <v>19</v>
      </c>
      <c r="E70" s="431" t="s">
        <v>190</v>
      </c>
      <c r="F70" s="432" t="s">
        <v>13</v>
      </c>
      <c r="G70" s="433">
        <v>4.5</v>
      </c>
      <c r="H70" s="434">
        <f t="shared" si="1"/>
        <v>15.63499</v>
      </c>
      <c r="I70" s="436">
        <v>0</v>
      </c>
      <c r="J70" s="439">
        <v>15.63499</v>
      </c>
      <c r="K70" s="439">
        <v>0</v>
      </c>
      <c r="L70" s="439">
        <v>0</v>
      </c>
    </row>
    <row r="71" spans="1:12" ht="19.5" customHeight="1" hidden="1">
      <c r="A71" s="492"/>
      <c r="B71" s="447"/>
      <c r="C71" s="429">
        <v>226</v>
      </c>
      <c r="D71" s="430" t="s">
        <v>19</v>
      </c>
      <c r="E71" s="431" t="s">
        <v>191</v>
      </c>
      <c r="F71" s="432" t="s">
        <v>13</v>
      </c>
      <c r="G71" s="433">
        <v>5.75</v>
      </c>
      <c r="H71" s="442">
        <f aca="true" t="shared" si="2" ref="H71:H82">SUM(I71:L71)</f>
        <v>22.84958</v>
      </c>
      <c r="I71" s="436">
        <v>0</v>
      </c>
      <c r="J71" s="436">
        <v>22.84958</v>
      </c>
      <c r="K71" s="439">
        <v>0</v>
      </c>
      <c r="L71" s="439">
        <v>0</v>
      </c>
    </row>
    <row r="72" spans="1:12" ht="19.5" customHeight="1" hidden="1">
      <c r="A72" s="492"/>
      <c r="B72" s="447"/>
      <c r="C72" s="429">
        <v>226</v>
      </c>
      <c r="D72" s="430" t="s">
        <v>19</v>
      </c>
      <c r="E72" s="431" t="s">
        <v>192</v>
      </c>
      <c r="F72" s="432" t="s">
        <v>13</v>
      </c>
      <c r="G72" s="433">
        <v>2.5</v>
      </c>
      <c r="H72" s="442">
        <f t="shared" si="2"/>
        <v>10.51895</v>
      </c>
      <c r="I72" s="436">
        <v>0</v>
      </c>
      <c r="J72" s="436">
        <v>10.51895</v>
      </c>
      <c r="K72" s="439">
        <v>0</v>
      </c>
      <c r="L72" s="439">
        <v>0</v>
      </c>
    </row>
    <row r="73" spans="1:12" ht="19.5" customHeight="1" hidden="1">
      <c r="A73" s="492"/>
      <c r="B73" s="447"/>
      <c r="C73" s="429">
        <v>226</v>
      </c>
      <c r="D73" s="430" t="s">
        <v>19</v>
      </c>
      <c r="E73" s="431" t="s">
        <v>193</v>
      </c>
      <c r="F73" s="432" t="s">
        <v>13</v>
      </c>
      <c r="G73" s="433">
        <v>10.5</v>
      </c>
      <c r="H73" s="434">
        <f t="shared" si="2"/>
        <v>41.97035</v>
      </c>
      <c r="I73" s="436">
        <v>0</v>
      </c>
      <c r="J73" s="439">
        <v>41.97035</v>
      </c>
      <c r="K73" s="439">
        <v>0</v>
      </c>
      <c r="L73" s="439">
        <v>0</v>
      </c>
    </row>
    <row r="74" spans="1:12" ht="19.5" customHeight="1" hidden="1">
      <c r="A74" s="492"/>
      <c r="B74" s="447"/>
      <c r="C74" s="429">
        <v>226</v>
      </c>
      <c r="D74" s="430" t="s">
        <v>19</v>
      </c>
      <c r="E74" s="431" t="s">
        <v>194</v>
      </c>
      <c r="F74" s="432" t="s">
        <v>13</v>
      </c>
      <c r="G74" s="433">
        <v>2</v>
      </c>
      <c r="H74" s="434">
        <f t="shared" si="2"/>
        <v>9.04727</v>
      </c>
      <c r="I74" s="436">
        <v>0</v>
      </c>
      <c r="J74" s="439">
        <v>9.04727</v>
      </c>
      <c r="K74" s="439">
        <v>0</v>
      </c>
      <c r="L74" s="439">
        <v>0</v>
      </c>
    </row>
    <row r="75" spans="1:12" ht="19.5" customHeight="1" hidden="1">
      <c r="A75" s="492"/>
      <c r="B75" s="447"/>
      <c r="C75" s="429">
        <v>226</v>
      </c>
      <c r="D75" s="430" t="s">
        <v>19</v>
      </c>
      <c r="E75" s="431" t="s">
        <v>195</v>
      </c>
      <c r="F75" s="432" t="s">
        <v>13</v>
      </c>
      <c r="G75" s="433">
        <v>13.75</v>
      </c>
      <c r="H75" s="434">
        <f t="shared" si="2"/>
        <v>45.62326</v>
      </c>
      <c r="I75" s="436">
        <v>0</v>
      </c>
      <c r="J75" s="439">
        <v>45.62326</v>
      </c>
      <c r="K75" s="439">
        <v>0</v>
      </c>
      <c r="L75" s="439">
        <v>0</v>
      </c>
    </row>
    <row r="76" spans="1:12" ht="19.5" customHeight="1" hidden="1">
      <c r="A76" s="492"/>
      <c r="B76" s="447"/>
      <c r="C76" s="429">
        <v>226</v>
      </c>
      <c r="D76" s="430" t="s">
        <v>19</v>
      </c>
      <c r="E76" s="431" t="s">
        <v>196</v>
      </c>
      <c r="F76" s="432" t="s">
        <v>13</v>
      </c>
      <c r="G76" s="443">
        <v>110.5</v>
      </c>
      <c r="H76" s="434">
        <f t="shared" si="2"/>
        <v>237.64886</v>
      </c>
      <c r="I76" s="436">
        <v>0</v>
      </c>
      <c r="J76" s="439">
        <v>237.64886</v>
      </c>
      <c r="K76" s="439">
        <v>0</v>
      </c>
      <c r="L76" s="439">
        <v>0</v>
      </c>
    </row>
    <row r="77" spans="1:12" ht="19.5" customHeight="1" hidden="1">
      <c r="A77" s="492"/>
      <c r="B77" s="447"/>
      <c r="C77" s="429">
        <v>226</v>
      </c>
      <c r="D77" s="430" t="s">
        <v>19</v>
      </c>
      <c r="E77" s="431" t="s">
        <v>197</v>
      </c>
      <c r="F77" s="432" t="s">
        <v>13</v>
      </c>
      <c r="G77" s="443">
        <v>3.75</v>
      </c>
      <c r="H77" s="434">
        <f t="shared" si="2"/>
        <v>13.80785</v>
      </c>
      <c r="I77" s="436">
        <v>0</v>
      </c>
      <c r="J77" s="439">
        <v>13.80785</v>
      </c>
      <c r="K77" s="439">
        <v>0</v>
      </c>
      <c r="L77" s="439">
        <v>0</v>
      </c>
    </row>
    <row r="78" spans="1:12" ht="19.5" customHeight="1" hidden="1">
      <c r="A78" s="492"/>
      <c r="B78" s="447"/>
      <c r="C78" s="429">
        <v>226</v>
      </c>
      <c r="D78" s="430" t="s">
        <v>19</v>
      </c>
      <c r="E78" s="431" t="s">
        <v>198</v>
      </c>
      <c r="F78" s="432" t="s">
        <v>13</v>
      </c>
      <c r="G78" s="443">
        <v>10.5</v>
      </c>
      <c r="H78" s="434">
        <f t="shared" si="2"/>
        <v>38.81347</v>
      </c>
      <c r="I78" s="436">
        <v>0</v>
      </c>
      <c r="J78" s="439">
        <v>38.81347</v>
      </c>
      <c r="K78" s="439">
        <v>0</v>
      </c>
      <c r="L78" s="439">
        <v>0</v>
      </c>
    </row>
    <row r="79" spans="1:12" ht="19.5" customHeight="1" hidden="1">
      <c r="A79" s="492"/>
      <c r="B79" s="447"/>
      <c r="C79" s="429">
        <v>226</v>
      </c>
      <c r="D79" s="430" t="s">
        <v>19</v>
      </c>
      <c r="E79" s="431" t="s">
        <v>199</v>
      </c>
      <c r="F79" s="432" t="s">
        <v>13</v>
      </c>
      <c r="G79" s="443">
        <v>1</v>
      </c>
      <c r="H79" s="434">
        <f t="shared" si="2"/>
        <v>4.52222</v>
      </c>
      <c r="I79" s="436">
        <v>0</v>
      </c>
      <c r="J79" s="439">
        <v>4.52222</v>
      </c>
      <c r="K79" s="439">
        <v>0</v>
      </c>
      <c r="L79" s="439">
        <v>0</v>
      </c>
    </row>
    <row r="80" spans="1:12" ht="19.5" customHeight="1" hidden="1">
      <c r="A80" s="492"/>
      <c r="B80" s="447"/>
      <c r="C80" s="429">
        <v>226</v>
      </c>
      <c r="D80" s="430" t="s">
        <v>19</v>
      </c>
      <c r="E80" s="431" t="s">
        <v>200</v>
      </c>
      <c r="F80" s="432" t="s">
        <v>13</v>
      </c>
      <c r="G80" s="443">
        <v>178.25</v>
      </c>
      <c r="H80" s="434">
        <f t="shared" si="2"/>
        <v>393.51688</v>
      </c>
      <c r="I80" s="436">
        <v>0</v>
      </c>
      <c r="J80" s="439">
        <v>393.51688</v>
      </c>
      <c r="K80" s="439">
        <v>0</v>
      </c>
      <c r="L80" s="439">
        <v>0</v>
      </c>
    </row>
    <row r="81" spans="1:12" ht="19.5" customHeight="1" hidden="1">
      <c r="A81" s="492"/>
      <c r="B81" s="447"/>
      <c r="C81" s="429">
        <v>226</v>
      </c>
      <c r="D81" s="430" t="s">
        <v>19</v>
      </c>
      <c r="E81" s="431" t="s">
        <v>201</v>
      </c>
      <c r="F81" s="432" t="s">
        <v>13</v>
      </c>
      <c r="G81" s="443">
        <v>6.5</v>
      </c>
      <c r="H81" s="434">
        <f t="shared" si="2"/>
        <v>21.51106</v>
      </c>
      <c r="I81" s="436">
        <v>0</v>
      </c>
      <c r="J81" s="439">
        <v>21.51106</v>
      </c>
      <c r="K81" s="439">
        <v>0</v>
      </c>
      <c r="L81" s="439">
        <v>0</v>
      </c>
    </row>
    <row r="82" spans="1:12" ht="19.5" customHeight="1" hidden="1">
      <c r="A82" s="492"/>
      <c r="B82" s="447"/>
      <c r="C82" s="429">
        <v>226</v>
      </c>
      <c r="D82" s="430" t="s">
        <v>19</v>
      </c>
      <c r="E82" s="431" t="s">
        <v>202</v>
      </c>
      <c r="F82" s="432" t="s">
        <v>13</v>
      </c>
      <c r="G82" s="443">
        <v>42</v>
      </c>
      <c r="H82" s="434">
        <f t="shared" si="2"/>
        <v>28.59314</v>
      </c>
      <c r="I82" s="436">
        <v>0</v>
      </c>
      <c r="J82" s="439">
        <v>28.59314</v>
      </c>
      <c r="K82" s="439">
        <v>0</v>
      </c>
      <c r="L82" s="439">
        <v>0</v>
      </c>
    </row>
    <row r="83" spans="1:12" ht="36">
      <c r="A83" s="492"/>
      <c r="B83" s="459" t="s">
        <v>73</v>
      </c>
      <c r="C83" s="401">
        <v>226</v>
      </c>
      <c r="D83" s="402" t="s">
        <v>19</v>
      </c>
      <c r="E83" s="457" t="s">
        <v>206</v>
      </c>
      <c r="F83" s="404" t="s">
        <v>13</v>
      </c>
      <c r="G83" s="405">
        <f>SUM(G7:G82)-G82</f>
        <v>1383.06</v>
      </c>
      <c r="H83" s="406">
        <f>SUM(H7:H82)-H82</f>
        <v>3502.503083999999</v>
      </c>
      <c r="I83" s="408">
        <f>SUM(I7:I82)</f>
        <v>0</v>
      </c>
      <c r="J83" s="409">
        <f>SUM(J7:J82)-J82</f>
        <v>3502.503083999999</v>
      </c>
      <c r="K83" s="409">
        <f>SUM(K7:K82)</f>
        <v>0</v>
      </c>
      <c r="L83" s="408">
        <f>SUM(L7:L82)</f>
        <v>0</v>
      </c>
    </row>
    <row r="84" spans="1:12" ht="36">
      <c r="A84" s="492"/>
      <c r="B84" s="460"/>
      <c r="C84" s="401">
        <v>226</v>
      </c>
      <c r="D84" s="402" t="s">
        <v>19</v>
      </c>
      <c r="E84" s="457" t="s">
        <v>207</v>
      </c>
      <c r="F84" s="404" t="s">
        <v>13</v>
      </c>
      <c r="G84" s="405">
        <f>SUM(G82+G85+G86+G87+G88)</f>
        <v>3054.09</v>
      </c>
      <c r="H84" s="406">
        <f aca="true" t="shared" si="3" ref="H84:H92">SUM(I84:L84)</f>
        <v>19229.391835715636</v>
      </c>
      <c r="I84" s="408">
        <f>SUM(I82+I85+I86+I87+I88)</f>
        <v>0</v>
      </c>
      <c r="J84" s="409">
        <f>SUM(J82+J85+J86+J87+J88)</f>
        <v>28.59314</v>
      </c>
      <c r="K84" s="409">
        <f>SUM(K82+K85+K86+K87+K88)</f>
        <v>19200.798695715635</v>
      </c>
      <c r="L84" s="408">
        <f>SUM(L82+L85+L86+L87+L88)</f>
        <v>0</v>
      </c>
    </row>
    <row r="85" spans="1:12" ht="38.25" hidden="1">
      <c r="A85" s="492"/>
      <c r="B85" s="460"/>
      <c r="C85" s="256">
        <v>226</v>
      </c>
      <c r="D85" s="247" t="s">
        <v>19</v>
      </c>
      <c r="E85" s="412" t="s">
        <v>107</v>
      </c>
      <c r="F85" s="248" t="s">
        <v>100</v>
      </c>
      <c r="G85" s="249">
        <f>203</f>
        <v>203</v>
      </c>
      <c r="H85" s="250">
        <f t="shared" si="3"/>
        <v>639.24737</v>
      </c>
      <c r="I85" s="252">
        <v>0</v>
      </c>
      <c r="J85" s="252">
        <v>0</v>
      </c>
      <c r="K85" s="252">
        <f>269.7986+352.52777+8.4605*2</f>
        <v>639.24737</v>
      </c>
      <c r="L85" s="253">
        <v>0</v>
      </c>
    </row>
    <row r="86" spans="1:12" ht="38.25" hidden="1">
      <c r="A86" s="492"/>
      <c r="B86" s="460"/>
      <c r="C86" s="257">
        <v>226</v>
      </c>
      <c r="D86" s="100" t="s">
        <v>19</v>
      </c>
      <c r="E86" s="413" t="s">
        <v>108</v>
      </c>
      <c r="F86" s="400" t="s">
        <v>101</v>
      </c>
      <c r="G86" s="254">
        <f>82.59+239.25+495.45</f>
        <v>817.29</v>
      </c>
      <c r="H86" s="97">
        <f t="shared" si="3"/>
        <v>5551.487169999999</v>
      </c>
      <c r="I86" s="133">
        <v>0</v>
      </c>
      <c r="J86" s="133">
        <v>0</v>
      </c>
      <c r="K86" s="133">
        <f>1051.2842+143.42497+1472.66988+2773.76196+110.34616</f>
        <v>5551.487169999999</v>
      </c>
      <c r="L86" s="133">
        <v>0</v>
      </c>
    </row>
    <row r="87" spans="1:12" ht="38.25" hidden="1">
      <c r="A87" s="492"/>
      <c r="B87" s="460"/>
      <c r="C87" s="258">
        <v>226</v>
      </c>
      <c r="D87" s="93" t="s">
        <v>19</v>
      </c>
      <c r="E87" s="389" t="s">
        <v>106</v>
      </c>
      <c r="F87" s="94" t="s">
        <v>13</v>
      </c>
      <c r="G87" s="399">
        <f>3.7+971.8+471</f>
        <v>1446.5</v>
      </c>
      <c r="H87" s="95">
        <f t="shared" si="3"/>
        <v>9798.83938</v>
      </c>
      <c r="I87" s="130">
        <v>0</v>
      </c>
      <c r="J87" s="130">
        <v>0</v>
      </c>
      <c r="K87" s="130">
        <f>1001.04584+13.71964+5981.77885+2636.87937+165.41568</f>
        <v>9798.83938</v>
      </c>
      <c r="L87" s="130">
        <v>0</v>
      </c>
    </row>
    <row r="88" spans="1:12" ht="30" customHeight="1" hidden="1">
      <c r="A88" s="492"/>
      <c r="B88" s="460"/>
      <c r="C88" s="392">
        <v>226</v>
      </c>
      <c r="D88" s="392" t="s">
        <v>19</v>
      </c>
      <c r="E88" s="393" t="s">
        <v>109</v>
      </c>
      <c r="F88" s="394" t="s">
        <v>13</v>
      </c>
      <c r="G88" s="395">
        <f>250.5+155.4+139.4</f>
        <v>545.3</v>
      </c>
      <c r="H88" s="396">
        <f t="shared" si="3"/>
        <v>3211.2247757156374</v>
      </c>
      <c r="I88" s="398">
        <v>0</v>
      </c>
      <c r="J88" s="398">
        <v>0</v>
      </c>
      <c r="K88" s="398">
        <f>435.02698+77.2194+348.06026+14.23201+1541.91768+719.167892715637+10.800079*7</f>
        <v>3211.2247757156374</v>
      </c>
      <c r="L88" s="398">
        <v>0</v>
      </c>
    </row>
    <row r="89" spans="1:12" ht="118.5" customHeight="1">
      <c r="A89" s="492"/>
      <c r="B89" s="485"/>
      <c r="C89" s="318">
        <v>226</v>
      </c>
      <c r="D89" s="319" t="s">
        <v>19</v>
      </c>
      <c r="E89" s="326" t="s">
        <v>69</v>
      </c>
      <c r="F89" s="320" t="s">
        <v>212</v>
      </c>
      <c r="G89" s="448">
        <v>125</v>
      </c>
      <c r="H89" s="322">
        <f t="shared" si="3"/>
        <v>1000</v>
      </c>
      <c r="I89" s="324">
        <v>0</v>
      </c>
      <c r="J89" s="325">
        <v>0</v>
      </c>
      <c r="K89" s="325">
        <v>0</v>
      </c>
      <c r="L89" s="325">
        <v>1000</v>
      </c>
    </row>
    <row r="90" spans="1:12" ht="36">
      <c r="A90" s="193"/>
      <c r="B90" s="25"/>
      <c r="C90" s="329">
        <v>297</v>
      </c>
      <c r="D90" s="332" t="s">
        <v>19</v>
      </c>
      <c r="E90" s="1" t="s">
        <v>205</v>
      </c>
      <c r="F90" s="334"/>
      <c r="G90" s="20"/>
      <c r="H90" s="22">
        <f t="shared" si="3"/>
        <v>1000</v>
      </c>
      <c r="I90" s="331">
        <v>1000</v>
      </c>
      <c r="J90" s="331">
        <v>0</v>
      </c>
      <c r="K90" s="331">
        <v>0</v>
      </c>
      <c r="L90" s="331">
        <v>0</v>
      </c>
    </row>
    <row r="91" spans="1:12" ht="96">
      <c r="A91" s="238">
        <v>2</v>
      </c>
      <c r="B91" s="112" t="s">
        <v>50</v>
      </c>
      <c r="C91" s="259">
        <v>226</v>
      </c>
      <c r="D91" s="102" t="s">
        <v>20</v>
      </c>
      <c r="E91" s="414" t="s">
        <v>218</v>
      </c>
      <c r="F91" s="83" t="s">
        <v>36</v>
      </c>
      <c r="G91" s="349">
        <v>3</v>
      </c>
      <c r="H91" s="340">
        <f t="shared" si="3"/>
        <v>2000</v>
      </c>
      <c r="I91" s="331">
        <v>0</v>
      </c>
      <c r="J91" s="330">
        <v>0</v>
      </c>
      <c r="K91" s="330">
        <v>0</v>
      </c>
      <c r="L91" s="330">
        <v>2000</v>
      </c>
    </row>
    <row r="92" spans="1:12" ht="66.75" customHeight="1">
      <c r="A92" s="462">
        <v>3</v>
      </c>
      <c r="B92" s="459" t="s">
        <v>204</v>
      </c>
      <c r="C92" s="329">
        <v>225</v>
      </c>
      <c r="D92" s="332" t="s">
        <v>19</v>
      </c>
      <c r="E92" s="452" t="s">
        <v>35</v>
      </c>
      <c r="F92" s="3" t="s">
        <v>209</v>
      </c>
      <c r="G92" s="343">
        <v>500</v>
      </c>
      <c r="H92" s="22">
        <f t="shared" si="3"/>
        <v>1000</v>
      </c>
      <c r="I92" s="331">
        <v>0</v>
      </c>
      <c r="J92" s="330">
        <v>0</v>
      </c>
      <c r="K92" s="330">
        <v>0</v>
      </c>
      <c r="L92" s="330">
        <v>1000</v>
      </c>
    </row>
    <row r="93" spans="1:12" ht="19.5" customHeight="1" hidden="1">
      <c r="A93" s="463"/>
      <c r="B93" s="460"/>
      <c r="C93" s="515">
        <v>225</v>
      </c>
      <c r="D93" s="484" t="s">
        <v>19</v>
      </c>
      <c r="E93" s="500" t="s">
        <v>65</v>
      </c>
      <c r="F93" s="493"/>
      <c r="G93" s="510"/>
      <c r="H93" s="486">
        <f>SUM(I93:L94)</f>
        <v>0</v>
      </c>
      <c r="I93" s="477">
        <v>0</v>
      </c>
      <c r="J93" s="483">
        <v>0</v>
      </c>
      <c r="K93" s="483">
        <v>0</v>
      </c>
      <c r="L93" s="483">
        <v>0</v>
      </c>
    </row>
    <row r="94" spans="1:12" ht="19.5" customHeight="1" hidden="1">
      <c r="A94" s="463"/>
      <c r="B94" s="460"/>
      <c r="C94" s="515"/>
      <c r="D94" s="484"/>
      <c r="E94" s="500"/>
      <c r="F94" s="494"/>
      <c r="G94" s="511"/>
      <c r="H94" s="486"/>
      <c r="I94" s="477"/>
      <c r="J94" s="483"/>
      <c r="K94" s="483"/>
      <c r="L94" s="483"/>
    </row>
    <row r="95" spans="1:12" ht="36" customHeight="1" hidden="1">
      <c r="A95" s="463"/>
      <c r="B95" s="460"/>
      <c r="C95" s="371">
        <v>310</v>
      </c>
      <c r="D95" s="372" t="s">
        <v>19</v>
      </c>
      <c r="E95" s="415" t="s">
        <v>121</v>
      </c>
      <c r="F95" s="373" t="s">
        <v>30</v>
      </c>
      <c r="G95" s="374">
        <f>1+4+4+2+2+4+4</f>
        <v>21</v>
      </c>
      <c r="H95" s="375">
        <f aca="true" t="shared" si="4" ref="H95:H117">SUM(I95:L95)</f>
        <v>707.55</v>
      </c>
      <c r="I95" s="377">
        <v>0</v>
      </c>
      <c r="J95" s="129">
        <v>0</v>
      </c>
      <c r="K95" s="129">
        <f>78.85+18.6+6.15+34.25+157.7+37.2+12.3+362.5</f>
        <v>707.55</v>
      </c>
      <c r="L95" s="129">
        <v>0</v>
      </c>
    </row>
    <row r="96" spans="1:12" ht="36" customHeight="1" hidden="1">
      <c r="A96" s="463"/>
      <c r="B96" s="460"/>
      <c r="C96" s="371">
        <v>310</v>
      </c>
      <c r="D96" s="372" t="s">
        <v>19</v>
      </c>
      <c r="E96" s="415" t="s">
        <v>123</v>
      </c>
      <c r="F96" s="378" t="s">
        <v>30</v>
      </c>
      <c r="G96" s="374">
        <f>1+2+2</f>
        <v>5</v>
      </c>
      <c r="H96" s="375">
        <f t="shared" si="4"/>
        <v>156.95</v>
      </c>
      <c r="I96" s="377">
        <v>0</v>
      </c>
      <c r="J96" s="129">
        <v>0</v>
      </c>
      <c r="K96" s="129">
        <f>34.25+97.95+18.6+6.15</f>
        <v>156.95</v>
      </c>
      <c r="L96" s="129">
        <v>0</v>
      </c>
    </row>
    <row r="97" spans="1:12" ht="36" customHeight="1" hidden="1">
      <c r="A97" s="463"/>
      <c r="B97" s="460"/>
      <c r="C97" s="371">
        <v>310</v>
      </c>
      <c r="D97" s="372" t="s">
        <v>19</v>
      </c>
      <c r="E97" s="415" t="s">
        <v>122</v>
      </c>
      <c r="F97" s="373" t="s">
        <v>30</v>
      </c>
      <c r="G97" s="374">
        <f>1+7+7+4+4</f>
        <v>23</v>
      </c>
      <c r="H97" s="375">
        <f t="shared" si="4"/>
        <v>759.35</v>
      </c>
      <c r="I97" s="129">
        <v>0</v>
      </c>
      <c r="J97" s="129">
        <v>0</v>
      </c>
      <c r="K97" s="129">
        <f>34.25+275.975+65.1+21.525+362.5</f>
        <v>759.35</v>
      </c>
      <c r="L97" s="129">
        <v>0</v>
      </c>
    </row>
    <row r="98" spans="1:12" ht="36" customHeight="1" hidden="1">
      <c r="A98" s="463"/>
      <c r="B98" s="460"/>
      <c r="C98" s="371">
        <v>310</v>
      </c>
      <c r="D98" s="372" t="s">
        <v>19</v>
      </c>
      <c r="E98" s="415" t="s">
        <v>124</v>
      </c>
      <c r="F98" s="378" t="s">
        <v>30</v>
      </c>
      <c r="G98" s="374">
        <f>1+4+4</f>
        <v>9</v>
      </c>
      <c r="H98" s="375">
        <f t="shared" si="4"/>
        <v>279.65000000000003</v>
      </c>
      <c r="I98" s="129">
        <v>0</v>
      </c>
      <c r="J98" s="129">
        <v>0</v>
      </c>
      <c r="K98" s="129">
        <f>34.25+195.9+37.2+12.3</f>
        <v>279.65000000000003</v>
      </c>
      <c r="L98" s="129">
        <v>0</v>
      </c>
    </row>
    <row r="99" spans="1:12" ht="36" customHeight="1" hidden="1">
      <c r="A99" s="463"/>
      <c r="B99" s="460"/>
      <c r="C99" s="371">
        <v>310</v>
      </c>
      <c r="D99" s="372" t="s">
        <v>19</v>
      </c>
      <c r="E99" s="415" t="s">
        <v>158</v>
      </c>
      <c r="F99" s="378" t="s">
        <v>159</v>
      </c>
      <c r="G99" s="374">
        <v>1</v>
      </c>
      <c r="H99" s="375">
        <f t="shared" si="4"/>
        <v>39.425</v>
      </c>
      <c r="I99" s="129">
        <v>0</v>
      </c>
      <c r="J99" s="129">
        <v>0</v>
      </c>
      <c r="K99" s="129">
        <v>39.425</v>
      </c>
      <c r="L99" s="129">
        <v>0</v>
      </c>
    </row>
    <row r="100" spans="1:12" ht="78.75" customHeight="1">
      <c r="A100" s="463"/>
      <c r="B100" s="460"/>
      <c r="C100" s="371">
        <v>310</v>
      </c>
      <c r="D100" s="372" t="s">
        <v>19</v>
      </c>
      <c r="E100" s="415" t="s">
        <v>208</v>
      </c>
      <c r="F100" s="378" t="s">
        <v>159</v>
      </c>
      <c r="G100" s="374">
        <f aca="true" t="shared" si="5" ref="G100:L100">SUM(G95:G99)</f>
        <v>59</v>
      </c>
      <c r="H100" s="375">
        <f t="shared" si="5"/>
        <v>1942.925</v>
      </c>
      <c r="I100" s="129">
        <f t="shared" si="5"/>
        <v>0</v>
      </c>
      <c r="J100" s="129">
        <f t="shared" si="5"/>
        <v>0</v>
      </c>
      <c r="K100" s="129">
        <f t="shared" si="5"/>
        <v>1942.925</v>
      </c>
      <c r="L100" s="129">
        <f t="shared" si="5"/>
        <v>0</v>
      </c>
    </row>
    <row r="101" spans="1:12" ht="72.75" customHeight="1">
      <c r="A101" s="463"/>
      <c r="B101" s="460"/>
      <c r="C101" s="371">
        <v>226</v>
      </c>
      <c r="D101" s="372" t="s">
        <v>19</v>
      </c>
      <c r="E101" s="415" t="s">
        <v>219</v>
      </c>
      <c r="F101" s="373" t="s">
        <v>11</v>
      </c>
      <c r="G101" s="382">
        <v>500</v>
      </c>
      <c r="H101" s="383">
        <f t="shared" si="4"/>
        <v>247.52449000000001</v>
      </c>
      <c r="I101" s="377">
        <v>0</v>
      </c>
      <c r="J101" s="377">
        <f>47.52449+200</f>
        <v>247.52449000000001</v>
      </c>
      <c r="K101" s="377">
        <v>0</v>
      </c>
      <c r="L101" s="377">
        <v>0</v>
      </c>
    </row>
    <row r="102" spans="1:12" ht="88.5" customHeight="1">
      <c r="A102" s="463"/>
      <c r="B102" s="460"/>
      <c r="C102" s="371">
        <v>310</v>
      </c>
      <c r="D102" s="372" t="s">
        <v>19</v>
      </c>
      <c r="E102" s="415" t="s">
        <v>210</v>
      </c>
      <c r="F102" s="373" t="s">
        <v>11</v>
      </c>
      <c r="G102" s="382">
        <f>SUM(G103+G104+G105+G106)</f>
        <v>928</v>
      </c>
      <c r="H102" s="383">
        <f>SUM(H103:H106)</f>
        <v>3522.09886</v>
      </c>
      <c r="I102" s="377">
        <f>SUM(I103:I106)</f>
        <v>0</v>
      </c>
      <c r="J102" s="377">
        <f>SUM(J103:J106)</f>
        <v>0</v>
      </c>
      <c r="K102" s="377">
        <f>SUM(K103+K104+K105+K106)</f>
        <v>3522.09886</v>
      </c>
      <c r="L102" s="377">
        <f>SUM(L103:L106)</f>
        <v>0</v>
      </c>
    </row>
    <row r="103" spans="1:12" ht="30" customHeight="1" hidden="1">
      <c r="A103" s="463"/>
      <c r="B103" s="460"/>
      <c r="C103" s="371">
        <v>310</v>
      </c>
      <c r="D103" s="372" t="s">
        <v>19</v>
      </c>
      <c r="E103" s="415" t="s">
        <v>110</v>
      </c>
      <c r="F103" s="373" t="s">
        <v>11</v>
      </c>
      <c r="G103" s="382">
        <v>293</v>
      </c>
      <c r="H103" s="383">
        <f t="shared" si="4"/>
        <v>1115.77682</v>
      </c>
      <c r="I103" s="377">
        <v>0</v>
      </c>
      <c r="J103" s="377">
        <v>0</v>
      </c>
      <c r="K103" s="377">
        <f>1088.19028+27.58654</f>
        <v>1115.77682</v>
      </c>
      <c r="L103" s="377">
        <v>0</v>
      </c>
    </row>
    <row r="104" spans="1:12" ht="30" customHeight="1" hidden="1">
      <c r="A104" s="463"/>
      <c r="B104" s="460"/>
      <c r="C104" s="371">
        <v>310</v>
      </c>
      <c r="D104" s="372" t="s">
        <v>19</v>
      </c>
      <c r="E104" s="415" t="s">
        <v>114</v>
      </c>
      <c r="F104" s="373" t="s">
        <v>11</v>
      </c>
      <c r="G104" s="379">
        <v>124</v>
      </c>
      <c r="H104" s="383">
        <f t="shared" si="4"/>
        <v>468.99154000000004</v>
      </c>
      <c r="I104" s="377">
        <v>0</v>
      </c>
      <c r="J104" s="377">
        <v>0</v>
      </c>
      <c r="K104" s="377">
        <f>460.53104+8.4605</f>
        <v>468.99154000000004</v>
      </c>
      <c r="L104" s="377">
        <v>0</v>
      </c>
    </row>
    <row r="105" spans="1:12" ht="30" customHeight="1" hidden="1">
      <c r="A105" s="463"/>
      <c r="B105" s="460"/>
      <c r="C105" s="371">
        <v>310</v>
      </c>
      <c r="D105" s="372" t="s">
        <v>19</v>
      </c>
      <c r="E105" s="415" t="s">
        <v>111</v>
      </c>
      <c r="F105" s="373" t="s">
        <v>11</v>
      </c>
      <c r="G105" s="379">
        <v>363</v>
      </c>
      <c r="H105" s="383">
        <f t="shared" si="4"/>
        <v>1387.66442</v>
      </c>
      <c r="I105" s="377">
        <v>0</v>
      </c>
      <c r="J105" s="377">
        <v>0</v>
      </c>
      <c r="K105" s="377">
        <f>1346.3105+41.35392</f>
        <v>1387.66442</v>
      </c>
      <c r="L105" s="377">
        <v>0</v>
      </c>
    </row>
    <row r="106" spans="1:12" ht="30" customHeight="1" hidden="1">
      <c r="A106" s="445"/>
      <c r="B106" s="444"/>
      <c r="C106" s="371">
        <v>310</v>
      </c>
      <c r="D106" s="372" t="s">
        <v>19</v>
      </c>
      <c r="E106" s="415" t="s">
        <v>112</v>
      </c>
      <c r="F106" s="373" t="s">
        <v>11</v>
      </c>
      <c r="G106" s="379">
        <v>148</v>
      </c>
      <c r="H106" s="383">
        <f t="shared" si="4"/>
        <v>549.66608</v>
      </c>
      <c r="I106" s="377">
        <v>0</v>
      </c>
      <c r="J106" s="377">
        <v>0</v>
      </c>
      <c r="K106" s="377">
        <v>549.66608</v>
      </c>
      <c r="L106" s="377">
        <v>0</v>
      </c>
    </row>
    <row r="107" spans="1:12" ht="36">
      <c r="A107" s="462">
        <v>4</v>
      </c>
      <c r="B107" s="459" t="s">
        <v>44</v>
      </c>
      <c r="C107" s="260">
        <v>226</v>
      </c>
      <c r="D107" s="334" t="s">
        <v>19</v>
      </c>
      <c r="E107" s="415" t="s">
        <v>217</v>
      </c>
      <c r="F107" s="334" t="s">
        <v>28</v>
      </c>
      <c r="G107" s="20">
        <v>3</v>
      </c>
      <c r="H107" s="333">
        <f t="shared" si="4"/>
        <v>700</v>
      </c>
      <c r="I107" s="330">
        <v>0</v>
      </c>
      <c r="J107" s="330">
        <v>700</v>
      </c>
      <c r="K107" s="129">
        <v>0</v>
      </c>
      <c r="L107" s="134">
        <v>0</v>
      </c>
    </row>
    <row r="108" spans="1:12" ht="36" hidden="1">
      <c r="A108" s="463"/>
      <c r="B108" s="460"/>
      <c r="C108" s="381">
        <v>310</v>
      </c>
      <c r="D108" s="373" t="s">
        <v>19</v>
      </c>
      <c r="E108" s="415" t="s">
        <v>102</v>
      </c>
      <c r="F108" s="378" t="s">
        <v>30</v>
      </c>
      <c r="G108" s="385">
        <v>7</v>
      </c>
      <c r="H108" s="375">
        <f t="shared" si="4"/>
        <v>2961.2000000000003</v>
      </c>
      <c r="I108" s="129">
        <v>0</v>
      </c>
      <c r="J108" s="129">
        <v>0</v>
      </c>
      <c r="K108" s="129">
        <f>564.35+46.95+895.875+736.475+280.85+171.9+264.8</f>
        <v>2961.2000000000003</v>
      </c>
      <c r="L108" s="129">
        <v>0</v>
      </c>
    </row>
    <row r="109" spans="1:12" ht="36" hidden="1">
      <c r="A109" s="463"/>
      <c r="B109" s="461"/>
      <c r="C109" s="381">
        <v>310</v>
      </c>
      <c r="D109" s="373" t="s">
        <v>19</v>
      </c>
      <c r="E109" s="415" t="s">
        <v>125</v>
      </c>
      <c r="F109" s="378" t="s">
        <v>30</v>
      </c>
      <c r="G109" s="385">
        <v>5</v>
      </c>
      <c r="H109" s="375">
        <f t="shared" si="4"/>
        <v>744.6250000000001</v>
      </c>
      <c r="I109" s="129">
        <v>0</v>
      </c>
      <c r="J109" s="129">
        <v>0</v>
      </c>
      <c r="K109" s="129">
        <f>564.35+73.225+34.85+25.25+46.95</f>
        <v>744.6250000000001</v>
      </c>
      <c r="L109" s="129">
        <v>0</v>
      </c>
    </row>
    <row r="110" spans="1:12" ht="36" hidden="1">
      <c r="A110" s="463"/>
      <c r="B110" s="461"/>
      <c r="C110" s="381">
        <v>310</v>
      </c>
      <c r="D110" s="373" t="s">
        <v>19</v>
      </c>
      <c r="E110" s="415" t="s">
        <v>116</v>
      </c>
      <c r="F110" s="378" t="s">
        <v>30</v>
      </c>
      <c r="G110" s="385">
        <v>7</v>
      </c>
      <c r="H110" s="375">
        <f t="shared" si="4"/>
        <v>1331.7749999999999</v>
      </c>
      <c r="I110" s="129">
        <v>0</v>
      </c>
      <c r="J110" s="129">
        <v>0</v>
      </c>
      <c r="K110" s="129">
        <f>648.55+127.05+73.225+110.425+46.95+200.525+125.05</f>
        <v>1331.7749999999999</v>
      </c>
      <c r="L110" s="129">
        <v>0</v>
      </c>
    </row>
    <row r="111" spans="1:12" ht="36" hidden="1">
      <c r="A111" s="463"/>
      <c r="B111" s="461"/>
      <c r="C111" s="381">
        <v>310</v>
      </c>
      <c r="D111" s="373" t="s">
        <v>19</v>
      </c>
      <c r="E111" s="415" t="s">
        <v>103</v>
      </c>
      <c r="F111" s="378" t="s">
        <v>30</v>
      </c>
      <c r="G111" s="385">
        <v>10</v>
      </c>
      <c r="H111" s="375">
        <f t="shared" si="4"/>
        <v>4437.1</v>
      </c>
      <c r="I111" s="129">
        <v>0</v>
      </c>
      <c r="J111" s="129">
        <v>0</v>
      </c>
      <c r="K111" s="129">
        <f>1925.6+442.025+564.35+125.05+187.3+85.75+48.05+294.525+69.825+193.475+501.15</f>
        <v>4437.1</v>
      </c>
      <c r="L111" s="129">
        <v>0</v>
      </c>
    </row>
    <row r="112" spans="1:12" ht="36">
      <c r="A112" s="463"/>
      <c r="B112" s="461"/>
      <c r="C112" s="381">
        <v>310</v>
      </c>
      <c r="D112" s="373" t="s">
        <v>19</v>
      </c>
      <c r="E112" s="453" t="s">
        <v>211</v>
      </c>
      <c r="F112" s="378" t="s">
        <v>30</v>
      </c>
      <c r="G112" s="385">
        <f aca="true" t="shared" si="6" ref="G112:L112">SUM(G108:G111)</f>
        <v>29</v>
      </c>
      <c r="H112" s="375">
        <f t="shared" si="6"/>
        <v>9474.7</v>
      </c>
      <c r="I112" s="129">
        <f t="shared" si="6"/>
        <v>0</v>
      </c>
      <c r="J112" s="129">
        <f t="shared" si="6"/>
        <v>0</v>
      </c>
      <c r="K112" s="129">
        <f t="shared" si="6"/>
        <v>9474.7</v>
      </c>
      <c r="L112" s="129">
        <f t="shared" si="6"/>
        <v>0</v>
      </c>
    </row>
    <row r="113" spans="1:12" ht="48">
      <c r="A113" s="463"/>
      <c r="B113" s="461"/>
      <c r="C113" s="260">
        <v>226</v>
      </c>
      <c r="D113" s="334" t="s">
        <v>21</v>
      </c>
      <c r="E113" s="42" t="s">
        <v>37</v>
      </c>
      <c r="F113" s="242" t="s">
        <v>76</v>
      </c>
      <c r="G113" s="30">
        <v>10</v>
      </c>
      <c r="H113" s="333">
        <f t="shared" si="4"/>
        <v>100</v>
      </c>
      <c r="I113" s="330">
        <v>0</v>
      </c>
      <c r="J113" s="330">
        <v>0</v>
      </c>
      <c r="K113" s="330">
        <v>100</v>
      </c>
      <c r="L113" s="330">
        <v>0</v>
      </c>
    </row>
    <row r="114" spans="1:12" ht="36">
      <c r="A114" s="463"/>
      <c r="B114" s="461"/>
      <c r="C114" s="261">
        <v>226</v>
      </c>
      <c r="D114" s="334" t="s">
        <v>21</v>
      </c>
      <c r="E114" s="5" t="s">
        <v>216</v>
      </c>
      <c r="F114" s="29" t="s">
        <v>25</v>
      </c>
      <c r="G114" s="449">
        <v>90</v>
      </c>
      <c r="H114" s="333">
        <f t="shared" si="4"/>
        <v>735.902</v>
      </c>
      <c r="I114" s="331">
        <v>0</v>
      </c>
      <c r="J114" s="344">
        <v>0</v>
      </c>
      <c r="K114" s="369">
        <v>735.902</v>
      </c>
      <c r="L114" s="330">
        <v>0</v>
      </c>
    </row>
    <row r="115" spans="1:12" ht="48.75" customHeight="1">
      <c r="A115" s="463"/>
      <c r="B115" s="461"/>
      <c r="C115" s="262">
        <v>226</v>
      </c>
      <c r="D115" s="334" t="s">
        <v>21</v>
      </c>
      <c r="E115" s="1" t="s">
        <v>215</v>
      </c>
      <c r="F115" s="51" t="s">
        <v>29</v>
      </c>
      <c r="G115" s="52">
        <v>54</v>
      </c>
      <c r="H115" s="53">
        <f t="shared" si="4"/>
        <v>3000</v>
      </c>
      <c r="I115" s="146">
        <v>0</v>
      </c>
      <c r="J115" s="148">
        <v>0</v>
      </c>
      <c r="K115" s="129">
        <v>0</v>
      </c>
      <c r="L115" s="129">
        <v>3000</v>
      </c>
    </row>
    <row r="116" spans="1:12" ht="19.5" customHeight="1">
      <c r="A116" s="239"/>
      <c r="B116" s="184" t="s">
        <v>16</v>
      </c>
      <c r="C116" s="263">
        <v>226</v>
      </c>
      <c r="D116" s="332"/>
      <c r="E116" s="416" t="s">
        <v>16</v>
      </c>
      <c r="F116" s="185"/>
      <c r="G116" s="186"/>
      <c r="H116" s="27">
        <f t="shared" si="4"/>
        <v>900</v>
      </c>
      <c r="I116" s="27">
        <v>0</v>
      </c>
      <c r="J116" s="27">
        <v>0</v>
      </c>
      <c r="K116" s="27">
        <v>0</v>
      </c>
      <c r="L116" s="27">
        <v>900</v>
      </c>
    </row>
    <row r="117" spans="1:12" ht="160.5" customHeight="1" thickBot="1">
      <c r="A117" s="240">
        <v>6</v>
      </c>
      <c r="B117" s="109" t="s">
        <v>45</v>
      </c>
      <c r="C117" s="264">
        <v>226</v>
      </c>
      <c r="D117" s="48"/>
      <c r="E117" s="110" t="s">
        <v>46</v>
      </c>
      <c r="F117" s="450" t="s">
        <v>36</v>
      </c>
      <c r="G117" s="46">
        <v>7</v>
      </c>
      <c r="H117" s="47">
        <f t="shared" si="4"/>
        <v>400</v>
      </c>
      <c r="I117" s="138">
        <v>400</v>
      </c>
      <c r="J117" s="124">
        <v>0</v>
      </c>
      <c r="K117" s="140">
        <v>0</v>
      </c>
      <c r="L117" s="141">
        <v>0</v>
      </c>
    </row>
    <row r="118" spans="1:12" ht="19.5" customHeight="1" thickBot="1">
      <c r="A118" s="209"/>
      <c r="B118" s="210" t="s">
        <v>10</v>
      </c>
      <c r="C118" s="210"/>
      <c r="D118" s="210"/>
      <c r="E118" s="167" t="s">
        <v>225</v>
      </c>
      <c r="F118" s="211"/>
      <c r="G118" s="212"/>
      <c r="H118" s="213">
        <f>SUM(L118+K118+J118+I118)</f>
        <v>1000</v>
      </c>
      <c r="I118" s="213">
        <f>SUM(I90)</f>
        <v>1000</v>
      </c>
      <c r="J118" s="221">
        <f>SUM(J90)</f>
        <v>0</v>
      </c>
      <c r="K118" s="222">
        <f>SUM(K90)</f>
        <v>0</v>
      </c>
      <c r="L118" s="223">
        <f>SUM(L90)</f>
        <v>0</v>
      </c>
    </row>
    <row r="119" spans="1:12" ht="19.5" customHeight="1" thickBot="1">
      <c r="A119" s="209"/>
      <c r="B119" s="210" t="s">
        <v>10</v>
      </c>
      <c r="C119" s="216"/>
      <c r="D119" s="216"/>
      <c r="E119" s="168" t="s">
        <v>226</v>
      </c>
      <c r="F119" s="217"/>
      <c r="G119" s="218"/>
      <c r="H119" s="219">
        <f>SUM(H92:H94)</f>
        <v>1000</v>
      </c>
      <c r="I119" s="219">
        <f>SUM(I92:I94)</f>
        <v>0</v>
      </c>
      <c r="J119" s="225">
        <f>SUM(J92:J94)</f>
        <v>0</v>
      </c>
      <c r="K119" s="226">
        <f>SUM(K92:K94)</f>
        <v>0</v>
      </c>
      <c r="L119" s="227">
        <f>SUM(L92:L94)</f>
        <v>1000</v>
      </c>
    </row>
    <row r="120" spans="1:14" ht="19.5" customHeight="1" thickBot="1">
      <c r="A120" s="209"/>
      <c r="B120" s="210" t="s">
        <v>10</v>
      </c>
      <c r="C120" s="216"/>
      <c r="D120" s="216"/>
      <c r="E120" s="168" t="s">
        <v>227</v>
      </c>
      <c r="F120" s="217"/>
      <c r="G120" s="218"/>
      <c r="H120" s="219">
        <f>SUM(I120:L120)</f>
        <v>31815.32140971563</v>
      </c>
      <c r="I120" s="219">
        <f>SUM(I83+I84+I89+I91+I107+I113+I114+I115+I116+I117)</f>
        <v>400</v>
      </c>
      <c r="J120" s="225">
        <f>SUM(J83+J84+J89+J91+J101+J107+J113+J114+J115+J116+J117)</f>
        <v>4478.620713999999</v>
      </c>
      <c r="K120" s="226">
        <f>SUM(K83+K84+K89+K91+K101+K107+K113+K114+K115+K116+K117)</f>
        <v>20036.700695715634</v>
      </c>
      <c r="L120" s="227">
        <f>SUM(L83+L84+L89+L91+L101+L107+L113+L114+L115+L116+L117)</f>
        <v>6900</v>
      </c>
      <c r="N120" s="456"/>
    </row>
    <row r="121" spans="1:12" ht="19.5" customHeight="1" thickBot="1">
      <c r="A121" s="209"/>
      <c r="B121" s="210" t="s">
        <v>10</v>
      </c>
      <c r="C121" s="216"/>
      <c r="D121" s="216"/>
      <c r="E121" s="167" t="s">
        <v>228</v>
      </c>
      <c r="F121" s="217"/>
      <c r="G121" s="218"/>
      <c r="H121" s="219">
        <f>SUM(I121:L121)</f>
        <v>14939.72386</v>
      </c>
      <c r="I121" s="219">
        <f>SUM(I112+I102+I100)</f>
        <v>0</v>
      </c>
      <c r="J121" s="225">
        <f>SUM(J112+J102+J100)</f>
        <v>0</v>
      </c>
      <c r="K121" s="226">
        <f>SUM(K112+K102+K100)</f>
        <v>14939.72386</v>
      </c>
      <c r="L121" s="227">
        <f>SUM(L112+L102+L100)</f>
        <v>0</v>
      </c>
    </row>
    <row r="122" spans="1:12" ht="19.5" customHeight="1" thickBot="1">
      <c r="A122" s="471" t="s">
        <v>57</v>
      </c>
      <c r="B122" s="472"/>
      <c r="C122" s="472"/>
      <c r="D122" s="472"/>
      <c r="E122" s="472"/>
      <c r="F122" s="472"/>
      <c r="G122" s="472"/>
      <c r="H122" s="472"/>
      <c r="I122" s="472"/>
      <c r="J122" s="472"/>
      <c r="K122" s="472"/>
      <c r="L122" s="473"/>
    </row>
    <row r="123" spans="1:12" ht="108">
      <c r="A123" s="228">
        <v>1</v>
      </c>
      <c r="B123" s="173" t="s">
        <v>51</v>
      </c>
      <c r="C123" s="229">
        <v>226</v>
      </c>
      <c r="D123" s="161" t="s">
        <v>19</v>
      </c>
      <c r="E123" s="230" t="s">
        <v>56</v>
      </c>
      <c r="F123" s="451" t="s">
        <v>12</v>
      </c>
      <c r="G123" s="232">
        <v>15</v>
      </c>
      <c r="H123" s="233">
        <f aca="true" t="shared" si="7" ref="H123:H146">SUM(I123:L123)</f>
        <v>518.4</v>
      </c>
      <c r="I123" s="162">
        <v>0</v>
      </c>
      <c r="J123" s="235">
        <v>518.4</v>
      </c>
      <c r="K123" s="235">
        <v>0</v>
      </c>
      <c r="L123" s="235">
        <v>0</v>
      </c>
    </row>
    <row r="124" spans="1:14" ht="120.75" customHeight="1">
      <c r="A124" s="454"/>
      <c r="B124" s="459" t="s">
        <v>52</v>
      </c>
      <c r="C124" s="41">
        <v>226</v>
      </c>
      <c r="D124" s="172" t="s">
        <v>19</v>
      </c>
      <c r="E124" s="455" t="s">
        <v>213</v>
      </c>
      <c r="F124" s="334" t="s">
        <v>13</v>
      </c>
      <c r="G124" s="103">
        <f aca="true" t="shared" si="8" ref="G124:L124">SUM(G125:G149)</f>
        <v>143681</v>
      </c>
      <c r="H124" s="31">
        <f t="shared" si="8"/>
        <v>7066.640740000001</v>
      </c>
      <c r="I124" s="175">
        <f t="shared" si="8"/>
        <v>1833.47555</v>
      </c>
      <c r="J124" s="106">
        <f t="shared" si="8"/>
        <v>1700.5512599999997</v>
      </c>
      <c r="K124" s="106">
        <f t="shared" si="8"/>
        <v>1688.6503199999997</v>
      </c>
      <c r="L124" s="106">
        <f t="shared" si="8"/>
        <v>1843.9636100000002</v>
      </c>
      <c r="N124" s="456"/>
    </row>
    <row r="125" spans="1:12" ht="19.5" customHeight="1" hidden="1">
      <c r="A125" s="474"/>
      <c r="B125" s="460"/>
      <c r="C125" s="41">
        <v>226</v>
      </c>
      <c r="D125" s="172" t="s">
        <v>19</v>
      </c>
      <c r="E125" s="5" t="s">
        <v>77</v>
      </c>
      <c r="F125" s="334" t="s">
        <v>13</v>
      </c>
      <c r="G125" s="37">
        <v>7488</v>
      </c>
      <c r="H125" s="22">
        <f t="shared" si="7"/>
        <v>289.42544000000004</v>
      </c>
      <c r="I125" s="175">
        <v>63.27505</v>
      </c>
      <c r="J125" s="106">
        <v>77.6041</v>
      </c>
      <c r="K125" s="106">
        <v>81.17579</v>
      </c>
      <c r="L125" s="106">
        <v>67.3705</v>
      </c>
    </row>
    <row r="126" spans="1:12" ht="19.5" customHeight="1" hidden="1">
      <c r="A126" s="474"/>
      <c r="B126" s="460"/>
      <c r="C126" s="41">
        <v>226</v>
      </c>
      <c r="D126" s="172" t="s">
        <v>19</v>
      </c>
      <c r="E126" s="5" t="s">
        <v>78</v>
      </c>
      <c r="F126" s="334" t="s">
        <v>13</v>
      </c>
      <c r="G126" s="37">
        <v>8378</v>
      </c>
      <c r="H126" s="22">
        <f t="shared" si="7"/>
        <v>241.97035</v>
      </c>
      <c r="I126" s="331">
        <v>34.27758</v>
      </c>
      <c r="J126" s="330">
        <v>77.41601</v>
      </c>
      <c r="K126" s="330">
        <v>86.79847</v>
      </c>
      <c r="L126" s="330">
        <v>43.47829</v>
      </c>
    </row>
    <row r="127" spans="1:12" ht="19.5" customHeight="1" hidden="1">
      <c r="A127" s="474"/>
      <c r="B127" s="460"/>
      <c r="C127" s="41">
        <v>226</v>
      </c>
      <c r="D127" s="172" t="s">
        <v>19</v>
      </c>
      <c r="E127" s="5" t="s">
        <v>79</v>
      </c>
      <c r="F127" s="334" t="s">
        <v>13</v>
      </c>
      <c r="G127" s="37">
        <v>26899</v>
      </c>
      <c r="H127" s="22">
        <f t="shared" si="7"/>
        <v>1466.2475900000002</v>
      </c>
      <c r="I127" s="331">
        <v>400.34845</v>
      </c>
      <c r="J127" s="330">
        <v>339.43353</v>
      </c>
      <c r="K127" s="330">
        <v>330.12117</v>
      </c>
      <c r="L127" s="330">
        <v>396.34444</v>
      </c>
    </row>
    <row r="128" spans="1:12" ht="19.5" customHeight="1" hidden="1">
      <c r="A128" s="474"/>
      <c r="B128" s="460"/>
      <c r="C128" s="41">
        <v>226</v>
      </c>
      <c r="D128" s="172" t="s">
        <v>19</v>
      </c>
      <c r="E128" s="5" t="s">
        <v>80</v>
      </c>
      <c r="F128" s="334" t="s">
        <v>13</v>
      </c>
      <c r="G128" s="37">
        <v>9445</v>
      </c>
      <c r="H128" s="22">
        <f t="shared" si="7"/>
        <v>489.26288999999997</v>
      </c>
      <c r="I128" s="331">
        <v>129.07295</v>
      </c>
      <c r="J128" s="330">
        <v>116.30397</v>
      </c>
      <c r="K128" s="330">
        <v>114.74798</v>
      </c>
      <c r="L128" s="330">
        <v>129.13799</v>
      </c>
    </row>
    <row r="129" spans="1:12" ht="19.5" customHeight="1" hidden="1">
      <c r="A129" s="474"/>
      <c r="B129" s="460"/>
      <c r="C129" s="41">
        <v>226</v>
      </c>
      <c r="D129" s="172" t="s">
        <v>19</v>
      </c>
      <c r="E129" s="5" t="s">
        <v>81</v>
      </c>
      <c r="F129" s="334" t="s">
        <v>13</v>
      </c>
      <c r="G129" s="37">
        <v>3347</v>
      </c>
      <c r="H129" s="22">
        <f t="shared" si="7"/>
        <v>175.47951</v>
      </c>
      <c r="I129" s="331">
        <v>48.67885</v>
      </c>
      <c r="J129" s="330">
        <v>40.10792</v>
      </c>
      <c r="K129" s="330">
        <v>38.73052</v>
      </c>
      <c r="L129" s="330">
        <v>47.96222</v>
      </c>
    </row>
    <row r="130" spans="1:12" ht="19.5" customHeight="1" hidden="1">
      <c r="A130" s="474"/>
      <c r="B130" s="460"/>
      <c r="C130" s="41">
        <v>226</v>
      </c>
      <c r="D130" s="172" t="s">
        <v>19</v>
      </c>
      <c r="E130" s="5" t="s">
        <v>82</v>
      </c>
      <c r="F130" s="334" t="s">
        <v>13</v>
      </c>
      <c r="G130" s="37">
        <v>6724</v>
      </c>
      <c r="H130" s="22">
        <f t="shared" si="7"/>
        <v>239.01019000000002</v>
      </c>
      <c r="I130" s="331">
        <v>47.43522</v>
      </c>
      <c r="J130" s="330">
        <v>67.32941</v>
      </c>
      <c r="K130" s="330">
        <v>71.93376</v>
      </c>
      <c r="L130" s="330">
        <v>52.3118</v>
      </c>
    </row>
    <row r="131" spans="1:12" ht="19.5" customHeight="1" hidden="1">
      <c r="A131" s="474"/>
      <c r="B131" s="460"/>
      <c r="C131" s="41">
        <v>226</v>
      </c>
      <c r="D131" s="172" t="s">
        <v>19</v>
      </c>
      <c r="E131" s="5" t="s">
        <v>83</v>
      </c>
      <c r="F131" s="334" t="s">
        <v>13</v>
      </c>
      <c r="G131" s="37">
        <v>5012</v>
      </c>
      <c r="H131" s="22">
        <f t="shared" si="7"/>
        <v>340.70722</v>
      </c>
      <c r="I131" s="331">
        <v>106.8633</v>
      </c>
      <c r="J131" s="330">
        <v>69.55944</v>
      </c>
      <c r="K131" s="330">
        <v>62.64339</v>
      </c>
      <c r="L131" s="330">
        <v>101.64109</v>
      </c>
    </row>
    <row r="132" spans="1:12" ht="19.5" customHeight="1" hidden="1">
      <c r="A132" s="474"/>
      <c r="B132" s="460"/>
      <c r="C132" s="39">
        <v>226</v>
      </c>
      <c r="D132" s="172" t="s">
        <v>19</v>
      </c>
      <c r="E132" s="5" t="s">
        <v>84</v>
      </c>
      <c r="F132" s="29" t="s">
        <v>13</v>
      </c>
      <c r="G132" s="103">
        <v>1354</v>
      </c>
      <c r="H132" s="35">
        <f t="shared" si="7"/>
        <v>73.60007999999999</v>
      </c>
      <c r="I132" s="175">
        <v>20.8683</v>
      </c>
      <c r="J132" s="106">
        <v>16.51838</v>
      </c>
      <c r="K132" s="106">
        <v>15.78566</v>
      </c>
      <c r="L132" s="106">
        <v>20.42774</v>
      </c>
    </row>
    <row r="133" spans="1:12" ht="19.5" customHeight="1" hidden="1">
      <c r="A133" s="474"/>
      <c r="B133" s="460"/>
      <c r="C133" s="41">
        <v>226</v>
      </c>
      <c r="D133" s="172" t="s">
        <v>19</v>
      </c>
      <c r="E133" s="5" t="s">
        <v>85</v>
      </c>
      <c r="F133" s="334" t="s">
        <v>13</v>
      </c>
      <c r="G133" s="37">
        <v>5121</v>
      </c>
      <c r="H133" s="22">
        <f t="shared" si="7"/>
        <v>165.56262</v>
      </c>
      <c r="I133" s="331">
        <v>28.57355</v>
      </c>
      <c r="J133" s="330">
        <v>49.52358</v>
      </c>
      <c r="K133" s="330">
        <v>54.18476</v>
      </c>
      <c r="L133" s="330">
        <v>33.28073</v>
      </c>
    </row>
    <row r="134" spans="1:12" ht="19.5" customHeight="1" hidden="1">
      <c r="A134" s="474"/>
      <c r="B134" s="460"/>
      <c r="C134" s="41">
        <v>226</v>
      </c>
      <c r="D134" s="172" t="s">
        <v>19</v>
      </c>
      <c r="E134" s="5" t="s">
        <v>86</v>
      </c>
      <c r="F134" s="334" t="s">
        <v>13</v>
      </c>
      <c r="G134" s="37">
        <v>2989</v>
      </c>
      <c r="H134" s="22">
        <f t="shared" si="7"/>
        <v>104.4596</v>
      </c>
      <c r="I134" s="331">
        <v>20.19655</v>
      </c>
      <c r="J134" s="330">
        <v>29.78655</v>
      </c>
      <c r="K134" s="330">
        <v>31.98267</v>
      </c>
      <c r="L134" s="330">
        <v>22.49383</v>
      </c>
    </row>
    <row r="135" spans="1:12" ht="19.5" customHeight="1" hidden="1">
      <c r="A135" s="474"/>
      <c r="B135" s="460"/>
      <c r="C135" s="41">
        <v>226</v>
      </c>
      <c r="D135" s="172" t="s">
        <v>19</v>
      </c>
      <c r="E135" s="5" t="s">
        <v>87</v>
      </c>
      <c r="F135" s="334" t="s">
        <v>13</v>
      </c>
      <c r="G135" s="37">
        <v>5571</v>
      </c>
      <c r="H135" s="22">
        <f t="shared" si="7"/>
        <v>208.08926</v>
      </c>
      <c r="I135" s="331">
        <v>42.98075</v>
      </c>
      <c r="J135" s="330">
        <v>57.48652</v>
      </c>
      <c r="K135" s="330">
        <v>60.91739</v>
      </c>
      <c r="L135" s="330">
        <v>46.7046</v>
      </c>
    </row>
    <row r="136" spans="1:12" ht="19.5" customHeight="1" hidden="1">
      <c r="A136" s="474"/>
      <c r="B136" s="460"/>
      <c r="C136" s="41">
        <v>226</v>
      </c>
      <c r="D136" s="172" t="s">
        <v>19</v>
      </c>
      <c r="E136" s="5" t="s">
        <v>88</v>
      </c>
      <c r="F136" s="334" t="s">
        <v>13</v>
      </c>
      <c r="G136" s="37">
        <v>2178</v>
      </c>
      <c r="H136" s="22">
        <f t="shared" si="7"/>
        <v>146.82927</v>
      </c>
      <c r="I136" s="331">
        <v>43.98678</v>
      </c>
      <c r="J136" s="330">
        <v>31.36799</v>
      </c>
      <c r="K136" s="330">
        <v>29.09725</v>
      </c>
      <c r="L136" s="330">
        <v>42.37725</v>
      </c>
    </row>
    <row r="137" spans="1:12" ht="19.5" customHeight="1" hidden="1">
      <c r="A137" s="474"/>
      <c r="B137" s="460"/>
      <c r="C137" s="41">
        <v>226</v>
      </c>
      <c r="D137" s="172" t="s">
        <v>19</v>
      </c>
      <c r="E137" s="5" t="s">
        <v>89</v>
      </c>
      <c r="F137" s="334" t="s">
        <v>13</v>
      </c>
      <c r="G137" s="37">
        <v>5787</v>
      </c>
      <c r="H137" s="22">
        <f t="shared" si="7"/>
        <v>298.48245</v>
      </c>
      <c r="I137" s="331">
        <v>78.786</v>
      </c>
      <c r="J137" s="330">
        <v>70.92408</v>
      </c>
      <c r="K137" s="330">
        <v>69.96004</v>
      </c>
      <c r="L137" s="330">
        <v>78.81233</v>
      </c>
    </row>
    <row r="138" spans="1:12" ht="19.5" customHeight="1" hidden="1">
      <c r="A138" s="474"/>
      <c r="B138" s="460"/>
      <c r="C138" s="41">
        <v>226</v>
      </c>
      <c r="D138" s="172" t="s">
        <v>19</v>
      </c>
      <c r="E138" s="5" t="s">
        <v>90</v>
      </c>
      <c r="F138" s="334" t="s">
        <v>13</v>
      </c>
      <c r="G138" s="37">
        <v>5407</v>
      </c>
      <c r="H138" s="22">
        <f t="shared" si="7"/>
        <v>340.17891999999995</v>
      </c>
      <c r="I138" s="331">
        <v>99.03222</v>
      </c>
      <c r="J138" s="330">
        <v>74.61163</v>
      </c>
      <c r="K138" s="330">
        <v>70.33916</v>
      </c>
      <c r="L138" s="330">
        <v>96.19591</v>
      </c>
    </row>
    <row r="139" spans="1:12" ht="19.5" customHeight="1" hidden="1">
      <c r="A139" s="474"/>
      <c r="B139" s="460"/>
      <c r="C139" s="41">
        <v>226</v>
      </c>
      <c r="D139" s="172" t="s">
        <v>19</v>
      </c>
      <c r="E139" s="5" t="s">
        <v>91</v>
      </c>
      <c r="F139" s="334" t="s">
        <v>13</v>
      </c>
      <c r="G139" s="37">
        <v>3326</v>
      </c>
      <c r="H139" s="22">
        <f t="shared" si="7"/>
        <v>150.28445</v>
      </c>
      <c r="I139" s="331">
        <v>37.20925</v>
      </c>
      <c r="J139" s="330">
        <v>37.36531</v>
      </c>
      <c r="K139" s="330">
        <v>37.72457</v>
      </c>
      <c r="L139" s="330">
        <v>37.98532</v>
      </c>
    </row>
    <row r="140" spans="1:12" ht="19.5" customHeight="1" hidden="1">
      <c r="A140" s="474"/>
      <c r="B140" s="460"/>
      <c r="C140" s="41">
        <v>226</v>
      </c>
      <c r="D140" s="172" t="s">
        <v>19</v>
      </c>
      <c r="E140" s="5" t="s">
        <v>92</v>
      </c>
      <c r="F140" s="334" t="s">
        <v>13</v>
      </c>
      <c r="G140" s="37">
        <v>3335</v>
      </c>
      <c r="H140" s="22">
        <f t="shared" si="7"/>
        <v>115.21602000000001</v>
      </c>
      <c r="I140" s="331">
        <v>21.99745</v>
      </c>
      <c r="J140" s="330">
        <v>33.0414</v>
      </c>
      <c r="K140" s="330">
        <v>35.5594</v>
      </c>
      <c r="L140" s="330">
        <v>24.61777</v>
      </c>
    </row>
    <row r="141" spans="1:12" ht="19.5" customHeight="1" hidden="1">
      <c r="A141" s="474"/>
      <c r="B141" s="460"/>
      <c r="C141" s="41">
        <v>226</v>
      </c>
      <c r="D141" s="172" t="s">
        <v>19</v>
      </c>
      <c r="E141" s="5" t="s">
        <v>93</v>
      </c>
      <c r="F141" s="334" t="s">
        <v>13</v>
      </c>
      <c r="G141" s="37">
        <v>3495</v>
      </c>
      <c r="H141" s="22">
        <f t="shared" si="7"/>
        <v>141.09285</v>
      </c>
      <c r="I141" s="331">
        <v>32.23045</v>
      </c>
      <c r="J141" s="330">
        <v>36.89958</v>
      </c>
      <c r="K141" s="330">
        <v>38.16528</v>
      </c>
      <c r="L141" s="330">
        <v>33.79754</v>
      </c>
    </row>
    <row r="142" spans="1:12" ht="19.5" customHeight="1" hidden="1">
      <c r="A142" s="474"/>
      <c r="B142" s="460"/>
      <c r="C142" s="41">
        <v>226</v>
      </c>
      <c r="D142" s="172" t="s">
        <v>19</v>
      </c>
      <c r="E142" s="5" t="s">
        <v>94</v>
      </c>
      <c r="F142" s="334" t="s">
        <v>13</v>
      </c>
      <c r="G142" s="37">
        <v>4323</v>
      </c>
      <c r="H142" s="22">
        <f t="shared" si="7"/>
        <v>146.78774</v>
      </c>
      <c r="I142" s="331">
        <v>27.18575</v>
      </c>
      <c r="J142" s="330">
        <v>42.66058</v>
      </c>
      <c r="K142" s="330">
        <v>46.15691</v>
      </c>
      <c r="L142" s="330">
        <v>30.7845</v>
      </c>
    </row>
    <row r="143" spans="1:12" ht="19.5" customHeight="1" hidden="1">
      <c r="A143" s="474"/>
      <c r="B143" s="460"/>
      <c r="C143" s="41">
        <v>226</v>
      </c>
      <c r="D143" s="172" t="s">
        <v>19</v>
      </c>
      <c r="E143" s="5" t="s">
        <v>95</v>
      </c>
      <c r="F143" s="334" t="s">
        <v>13</v>
      </c>
      <c r="G143" s="37">
        <v>1325</v>
      </c>
      <c r="H143" s="22">
        <f t="shared" si="7"/>
        <v>208.35972999999996</v>
      </c>
      <c r="I143" s="331">
        <v>71.29405</v>
      </c>
      <c r="J143" s="330">
        <v>38.53937</v>
      </c>
      <c r="K143" s="330">
        <v>32.26903</v>
      </c>
      <c r="L143" s="330">
        <v>66.25728</v>
      </c>
    </row>
    <row r="144" spans="1:19" ht="19.5" customHeight="1" hidden="1">
      <c r="A144" s="474"/>
      <c r="B144" s="460"/>
      <c r="C144" s="41">
        <v>226</v>
      </c>
      <c r="D144" s="172" t="s">
        <v>19</v>
      </c>
      <c r="E144" s="5" t="s">
        <v>96</v>
      </c>
      <c r="F144" s="334" t="s">
        <v>13</v>
      </c>
      <c r="G144" s="37">
        <v>6679</v>
      </c>
      <c r="H144" s="22">
        <f t="shared" si="7"/>
        <v>244.14479</v>
      </c>
      <c r="I144" s="331">
        <v>48.63078</v>
      </c>
      <c r="J144" s="330">
        <v>68.65701</v>
      </c>
      <c r="K144" s="330">
        <v>73.29964</v>
      </c>
      <c r="L144" s="330">
        <v>53.55736</v>
      </c>
      <c r="S144" s="456"/>
    </row>
    <row r="145" spans="1:12" ht="19.5" customHeight="1" hidden="1">
      <c r="A145" s="474"/>
      <c r="B145" s="460"/>
      <c r="C145" s="41">
        <v>226</v>
      </c>
      <c r="D145" s="172" t="s">
        <v>19</v>
      </c>
      <c r="E145" s="5" t="s">
        <v>97</v>
      </c>
      <c r="F145" s="334" t="s">
        <v>13</v>
      </c>
      <c r="G145" s="37">
        <v>2236</v>
      </c>
      <c r="H145" s="22">
        <f t="shared" si="7"/>
        <v>81.58941</v>
      </c>
      <c r="I145" s="331">
        <v>16.551</v>
      </c>
      <c r="J145" s="330">
        <v>22.7426</v>
      </c>
      <c r="K145" s="330">
        <v>24.19128</v>
      </c>
      <c r="L145" s="330">
        <v>18.10453</v>
      </c>
    </row>
    <row r="146" spans="1:12" ht="19.5" customHeight="1" hidden="1">
      <c r="A146" s="474"/>
      <c r="B146" s="460"/>
      <c r="C146" s="113">
        <v>226</v>
      </c>
      <c r="D146" s="332" t="s">
        <v>19</v>
      </c>
      <c r="E146" s="1" t="s">
        <v>41</v>
      </c>
      <c r="F146" s="32" t="s">
        <v>13</v>
      </c>
      <c r="G146" s="115">
        <v>5711</v>
      </c>
      <c r="H146" s="22">
        <f t="shared" si="7"/>
        <v>369.96454</v>
      </c>
      <c r="I146" s="131">
        <v>114.53022</v>
      </c>
      <c r="J146" s="132">
        <v>76.54893</v>
      </c>
      <c r="K146" s="132">
        <v>69.55752</v>
      </c>
      <c r="L146" s="132">
        <v>109.32787</v>
      </c>
    </row>
    <row r="147" spans="1:12" ht="19.5" customHeight="1" hidden="1">
      <c r="A147" s="317"/>
      <c r="B147" s="460"/>
      <c r="C147" s="113">
        <v>226</v>
      </c>
      <c r="D147" s="332" t="s">
        <v>19</v>
      </c>
      <c r="E147" s="1" t="s">
        <v>66</v>
      </c>
      <c r="F147" s="32" t="s">
        <v>13</v>
      </c>
      <c r="G147" s="115">
        <v>2341</v>
      </c>
      <c r="H147" s="22">
        <f aca="true" t="shared" si="9" ref="H147:H153">SUM(I147:L147)</f>
        <v>101.71584</v>
      </c>
      <c r="I147" s="131">
        <v>24.86755</v>
      </c>
      <c r="J147" s="132">
        <v>25.50272</v>
      </c>
      <c r="K147" s="132">
        <v>25.85458</v>
      </c>
      <c r="L147" s="132">
        <v>25.49099</v>
      </c>
    </row>
    <row r="148" spans="1:12" ht="19.5" customHeight="1" hidden="1">
      <c r="A148" s="317"/>
      <c r="B148" s="460"/>
      <c r="C148" s="113">
        <v>226</v>
      </c>
      <c r="D148" s="332" t="s">
        <v>19</v>
      </c>
      <c r="E148" s="1" t="s">
        <v>67</v>
      </c>
      <c r="F148" s="32" t="s">
        <v>13</v>
      </c>
      <c r="G148" s="115">
        <v>7647</v>
      </c>
      <c r="H148" s="22">
        <f t="shared" si="9"/>
        <v>361.41983</v>
      </c>
      <c r="I148" s="131">
        <v>93.03282</v>
      </c>
      <c r="J148" s="132">
        <v>87.47157</v>
      </c>
      <c r="K148" s="132">
        <v>87.11685</v>
      </c>
      <c r="L148" s="132">
        <v>93.79859</v>
      </c>
    </row>
    <row r="149" spans="1:12" ht="19.5" customHeight="1" hidden="1">
      <c r="A149" s="317"/>
      <c r="B149" s="485"/>
      <c r="C149" s="113">
        <v>226</v>
      </c>
      <c r="D149" s="332" t="s">
        <v>19</v>
      </c>
      <c r="E149" s="1" t="s">
        <v>68</v>
      </c>
      <c r="F149" s="32" t="s">
        <v>13</v>
      </c>
      <c r="G149" s="115">
        <v>7563</v>
      </c>
      <c r="H149" s="22">
        <f t="shared" si="9"/>
        <v>566.76015</v>
      </c>
      <c r="I149" s="131">
        <v>181.57068</v>
      </c>
      <c r="J149" s="132">
        <v>113.14908</v>
      </c>
      <c r="K149" s="132">
        <v>100.33725</v>
      </c>
      <c r="L149" s="132">
        <v>171.70314</v>
      </c>
    </row>
    <row r="150" spans="1:12" ht="192">
      <c r="A150" s="195" t="s">
        <v>58</v>
      </c>
      <c r="B150" s="265" t="s">
        <v>33</v>
      </c>
      <c r="C150" s="41">
        <v>226</v>
      </c>
      <c r="D150" s="332" t="s">
        <v>19</v>
      </c>
      <c r="E150" s="196" t="s">
        <v>31</v>
      </c>
      <c r="F150" s="243" t="s">
        <v>70</v>
      </c>
      <c r="G150" s="117"/>
      <c r="H150" s="197">
        <f t="shared" si="9"/>
        <v>0</v>
      </c>
      <c r="I150" s="160">
        <v>0</v>
      </c>
      <c r="J150" s="154">
        <v>0</v>
      </c>
      <c r="K150" s="154">
        <v>0</v>
      </c>
      <c r="L150" s="154">
        <v>0</v>
      </c>
    </row>
    <row r="151" spans="1:12" ht="36.75" customHeight="1">
      <c r="A151" s="490" t="s">
        <v>59</v>
      </c>
      <c r="B151" s="487" t="s">
        <v>53</v>
      </c>
      <c r="C151" s="335">
        <v>226</v>
      </c>
      <c r="D151" s="319" t="s">
        <v>19</v>
      </c>
      <c r="E151" s="417" t="s">
        <v>55</v>
      </c>
      <c r="F151" s="320"/>
      <c r="G151" s="336"/>
      <c r="H151" s="337">
        <f t="shared" si="9"/>
        <v>500</v>
      </c>
      <c r="I151" s="324">
        <v>0</v>
      </c>
      <c r="J151" s="325">
        <v>0</v>
      </c>
      <c r="K151" s="325">
        <v>0</v>
      </c>
      <c r="L151" s="325">
        <v>500</v>
      </c>
    </row>
    <row r="152" spans="1:12" ht="45" customHeight="1">
      <c r="A152" s="491"/>
      <c r="B152" s="488"/>
      <c r="C152" s="39">
        <v>226</v>
      </c>
      <c r="D152" s="172" t="s">
        <v>19</v>
      </c>
      <c r="E152" s="418" t="s">
        <v>99</v>
      </c>
      <c r="F152" s="242" t="s">
        <v>30</v>
      </c>
      <c r="G152" s="103">
        <v>3580</v>
      </c>
      <c r="H152" s="104">
        <f t="shared" si="9"/>
        <v>500</v>
      </c>
      <c r="I152" s="106">
        <v>500</v>
      </c>
      <c r="J152" s="106">
        <v>0</v>
      </c>
      <c r="K152" s="108">
        <v>0</v>
      </c>
      <c r="L152" s="106">
        <v>0</v>
      </c>
    </row>
    <row r="153" spans="1:12" ht="48.75" customHeight="1">
      <c r="A153" s="491"/>
      <c r="B153" s="488"/>
      <c r="C153" s="41">
        <v>226</v>
      </c>
      <c r="D153" s="172" t="s">
        <v>19</v>
      </c>
      <c r="E153" s="1" t="s">
        <v>214</v>
      </c>
      <c r="F153" s="83" t="s">
        <v>36</v>
      </c>
      <c r="G153" s="349">
        <v>4</v>
      </c>
      <c r="H153" s="31">
        <f t="shared" si="9"/>
        <v>1000</v>
      </c>
      <c r="I153" s="175">
        <v>0</v>
      </c>
      <c r="J153" s="175">
        <v>1000</v>
      </c>
      <c r="K153" s="106">
        <v>0</v>
      </c>
      <c r="L153" s="175">
        <v>0</v>
      </c>
    </row>
    <row r="154" spans="1:12" ht="30" customHeight="1">
      <c r="A154" s="491"/>
      <c r="B154" s="488"/>
      <c r="C154" s="41">
        <v>226</v>
      </c>
      <c r="D154" s="172" t="s">
        <v>19</v>
      </c>
      <c r="E154" s="1" t="s">
        <v>221</v>
      </c>
      <c r="F154" s="3" t="s">
        <v>13</v>
      </c>
      <c r="G154" s="37">
        <f>191.2+2159.67+110.2+543+352.4+2453+166.5+620.5</f>
        <v>6596.469999999999</v>
      </c>
      <c r="H154" s="333">
        <f>SUM(J154:L154)</f>
        <v>9709.908689999998</v>
      </c>
      <c r="I154" s="388">
        <v>0</v>
      </c>
      <c r="J154" s="175">
        <v>0</v>
      </c>
      <c r="K154" s="175">
        <f>416.60377+2869.31597+27.58654*2+240.11368+721.42437+8.4605+80.4605+767.84084+3259.03127+41.35392*2+362.78519+824.3901+10.80079+10.80079</f>
        <v>9709.908689999998</v>
      </c>
      <c r="L154" s="175">
        <v>0</v>
      </c>
    </row>
    <row r="155" spans="1:12" ht="36.75" customHeight="1">
      <c r="A155" s="491"/>
      <c r="B155" s="488"/>
      <c r="C155" s="41">
        <v>226</v>
      </c>
      <c r="D155" s="172" t="s">
        <v>19</v>
      </c>
      <c r="E155" s="1" t="s">
        <v>220</v>
      </c>
      <c r="F155" s="3" t="s">
        <v>30</v>
      </c>
      <c r="G155" s="343">
        <f>165+3+77+4+156+6+68</f>
        <v>479</v>
      </c>
      <c r="H155" s="333">
        <f>SUM(I155:L155)</f>
        <v>2000.0346799999998</v>
      </c>
      <c r="I155" s="331">
        <v>0</v>
      </c>
      <c r="J155" s="330">
        <v>0</v>
      </c>
      <c r="K155" s="330">
        <f>527.8383+143.92815+27.58654*2+499.04712+287.8563+41.35392*2+246.32454+191.9042+8.4605+8.4605+217.53336+10.80079-280</f>
        <v>2000.0346799999998</v>
      </c>
      <c r="L155" s="330">
        <v>0</v>
      </c>
    </row>
    <row r="156" spans="1:12" ht="33" customHeight="1">
      <c r="A156" s="491"/>
      <c r="B156" s="488"/>
      <c r="C156" s="41">
        <v>226</v>
      </c>
      <c r="D156" s="172" t="s">
        <v>19</v>
      </c>
      <c r="E156" s="1" t="s">
        <v>222</v>
      </c>
      <c r="F156" s="3" t="s">
        <v>30</v>
      </c>
      <c r="G156" s="343">
        <f>165+3+77+4+156+6+68</f>
        <v>479</v>
      </c>
      <c r="H156" s="333">
        <f>SUM(I156:L156)</f>
        <v>280</v>
      </c>
      <c r="I156" s="331">
        <v>0</v>
      </c>
      <c r="J156" s="330">
        <v>0</v>
      </c>
      <c r="K156" s="330">
        <v>0</v>
      </c>
      <c r="L156" s="330">
        <v>280</v>
      </c>
    </row>
    <row r="157" spans="1:12" ht="19.5" customHeight="1">
      <c r="A157" s="189"/>
      <c r="B157" s="177" t="s">
        <v>9</v>
      </c>
      <c r="C157" s="178">
        <v>226</v>
      </c>
      <c r="D157" s="332"/>
      <c r="E157" s="419" t="s">
        <v>16</v>
      </c>
      <c r="F157" s="177"/>
      <c r="G157" s="190"/>
      <c r="H157" s="179">
        <f>SUM(I157:L157)</f>
        <v>155.35853903999998</v>
      </c>
      <c r="I157" s="181">
        <v>0</v>
      </c>
      <c r="J157" s="182">
        <v>0</v>
      </c>
      <c r="K157" s="183">
        <v>0</v>
      </c>
      <c r="L157" s="181">
        <f>SUM(H154)*1.6%</f>
        <v>155.35853903999998</v>
      </c>
    </row>
    <row r="158" spans="1:14" ht="19.5" customHeight="1" thickBot="1">
      <c r="A158" s="207"/>
      <c r="B158" s="153" t="s">
        <v>10</v>
      </c>
      <c r="C158" s="153"/>
      <c r="D158" s="153"/>
      <c r="E158" s="166" t="s">
        <v>229</v>
      </c>
      <c r="F158" s="153"/>
      <c r="G158" s="208"/>
      <c r="H158" s="199">
        <f>SUM(H157+H156+H155+H154+H153+H152+H151+H150+H124+H123)</f>
        <v>21730.34264904</v>
      </c>
      <c r="I158" s="199">
        <f>SUM(I157+I156+I155+I154+I153+I152+I151+I150+I124+I123)</f>
        <v>2333.47555</v>
      </c>
      <c r="J158" s="202">
        <f>SUM(J157+J156+J155+J154+J153+J152+J151+J150+J124+J123)</f>
        <v>3218.95126</v>
      </c>
      <c r="K158" s="203">
        <f>SUM(K123+K124+K150+K151+K152+K153+K154+K155+K156+K157)</f>
        <v>13398.593689999998</v>
      </c>
      <c r="L158" s="202">
        <f>SUM(L157+L156+L155+L154+L153+L152+L151+L150+L124+L123)</f>
        <v>2779.32214904</v>
      </c>
      <c r="N158" s="456"/>
    </row>
    <row r="159" spans="1:14" ht="19.5" customHeight="1" thickBot="1">
      <c r="A159" s="468" t="s">
        <v>8</v>
      </c>
      <c r="B159" s="469"/>
      <c r="C159" s="469"/>
      <c r="D159" s="469"/>
      <c r="E159" s="469"/>
      <c r="F159" s="469"/>
      <c r="G159" s="470"/>
      <c r="H159" s="86">
        <f>SUM(H158+H121+H120+H119+H118)</f>
        <v>70485.38791875563</v>
      </c>
      <c r="I159" s="164">
        <f>SUM(I158+I121+I120+I119+I118)</f>
        <v>3733.47555</v>
      </c>
      <c r="J159" s="164">
        <f>SUM(J158+J121+J120+J119+J118)</f>
        <v>7697.571973999999</v>
      </c>
      <c r="K159" s="165">
        <f>SUM(K158+K121+K120+K119+K118)</f>
        <v>48375.01824571563</v>
      </c>
      <c r="L159" s="164">
        <f>SUM(L158+L121+L120+L119+L118)</f>
        <v>10679.32214904</v>
      </c>
      <c r="N159" s="456"/>
    </row>
    <row r="160" spans="1:12" ht="19.5" customHeight="1">
      <c r="A160" s="70"/>
      <c r="B160" s="70"/>
      <c r="C160" s="70"/>
      <c r="D160" s="70"/>
      <c r="E160" s="421"/>
      <c r="F160" s="70"/>
      <c r="G160" s="70"/>
      <c r="H160" s="355"/>
      <c r="I160" s="356"/>
      <c r="J160" s="356"/>
      <c r="K160" s="357"/>
      <c r="L160" s="356"/>
    </row>
    <row r="161" spans="1:12" ht="19.5" customHeight="1">
      <c r="A161" s="6"/>
      <c r="B161" s="458" t="s">
        <v>40</v>
      </c>
      <c r="C161" s="458"/>
      <c r="D161" s="458"/>
      <c r="E161" s="458"/>
      <c r="F161" s="458"/>
      <c r="G161" s="458"/>
      <c r="H161" s="458"/>
      <c r="I161" s="458"/>
      <c r="J161" s="458"/>
      <c r="K161" s="122"/>
      <c r="L161" s="121"/>
    </row>
    <row r="162" spans="1:14" ht="19.5" customHeight="1">
      <c r="A162" s="6"/>
      <c r="B162" s="79"/>
      <c r="C162" s="74"/>
      <c r="D162" s="74"/>
      <c r="E162" s="422"/>
      <c r="F162" s="6"/>
      <c r="G162" s="80"/>
      <c r="H162" s="81"/>
      <c r="I162" s="121"/>
      <c r="J162" s="121"/>
      <c r="K162" s="122"/>
      <c r="L162" s="121"/>
      <c r="N162" s="456"/>
    </row>
  </sheetData>
  <sheetProtection/>
  <mergeCells count="38">
    <mergeCell ref="K93:K94"/>
    <mergeCell ref="L93:L94"/>
    <mergeCell ref="B1:E1"/>
    <mergeCell ref="I1:L1"/>
    <mergeCell ref="A2:K2"/>
    <mergeCell ref="A3:I3"/>
    <mergeCell ref="A4:A5"/>
    <mergeCell ref="B4:B5"/>
    <mergeCell ref="C4:C5"/>
    <mergeCell ref="D4:D5"/>
    <mergeCell ref="G4:G5"/>
    <mergeCell ref="H4:H5"/>
    <mergeCell ref="I4:L4"/>
    <mergeCell ref="A6:L6"/>
    <mergeCell ref="B13:B52"/>
    <mergeCell ref="A59:A89"/>
    <mergeCell ref="E4:E5"/>
    <mergeCell ref="F4:F5"/>
    <mergeCell ref="A107:A115"/>
    <mergeCell ref="B107:B115"/>
    <mergeCell ref="A122:L122"/>
    <mergeCell ref="G93:G94"/>
    <mergeCell ref="H93:H94"/>
    <mergeCell ref="I93:I94"/>
    <mergeCell ref="A92:A105"/>
    <mergeCell ref="B92:B105"/>
    <mergeCell ref="E93:E94"/>
    <mergeCell ref="F93:F94"/>
    <mergeCell ref="A159:G159"/>
    <mergeCell ref="B161:J161"/>
    <mergeCell ref="B83:B89"/>
    <mergeCell ref="A125:A146"/>
    <mergeCell ref="A151:A156"/>
    <mergeCell ref="B151:B156"/>
    <mergeCell ref="J93:J94"/>
    <mergeCell ref="C93:C94"/>
    <mergeCell ref="D93:D94"/>
    <mergeCell ref="B124:B14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2022-10-25T09:21:52Z</cp:lastPrinted>
  <dcterms:created xsi:type="dcterms:W3CDTF">2006-04-10T06:07:50Z</dcterms:created>
  <dcterms:modified xsi:type="dcterms:W3CDTF">2022-11-15T12:46:25Z</dcterms:modified>
  <cp:category/>
  <cp:version/>
  <cp:contentType/>
  <cp:contentStatus/>
</cp:coreProperties>
</file>