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690" yWindow="-90" windowWidth="11040" windowHeight="7065" firstSheet="2" activeTab="2"/>
  </bookViews>
  <sheets>
    <sheet name="пер.ф.п." sheetId="20" state="hidden" r:id="rId1"/>
    <sheet name="Св.б.рос." sheetId="24" state="hidden" r:id="rId2"/>
    <sheet name="ДОХ.Пр.1" sheetId="11" r:id="rId3"/>
    <sheet name="св.б.р" sheetId="32" state="hidden" r:id="rId4"/>
    <sheet name="ВЕД.СТ Пр.2." sheetId="17" r:id="rId5"/>
    <sheet name="Оценка ожид дох" sheetId="26" state="hidden" r:id="rId6"/>
    <sheet name="ИФ.Пр.4" sheetId="12" r:id="rId7"/>
    <sheet name="Бюд.р." sheetId="21" state="hidden" r:id="rId8"/>
    <sheet name="кв" sheetId="22" state="hidden" r:id="rId9"/>
    <sheet name="Срперпфинплан" sheetId="27" state="hidden" r:id="rId10"/>
    <sheet name="Кас" sheetId="28" state="hidden" r:id="rId11"/>
    <sheet name="Ср пл" sheetId="29" state="hidden" r:id="rId12"/>
    <sheet name="Лист1" sheetId="30" state="hidden" r:id="rId13"/>
    <sheet name="Пцс" sheetId="31" state="hidden" r:id="rId14"/>
    <sheet name="Рас.Пр.3" sheetId="33" r:id="rId15"/>
    <sheet name="Рас " sheetId="34" state="hidden" r:id="rId16"/>
  </sheets>
  <definedNames>
    <definedName name="_xlnm._FilterDatabase" localSheetId="4" hidden="1">'ВЕД.СТ Пр.2.'!$A$24:$H$194</definedName>
    <definedName name="_xlnm._FilterDatabase" localSheetId="3" hidden="1">св.б.р!$A$17:$H$250</definedName>
    <definedName name="_xlnm._FilterDatabase" localSheetId="1" hidden="1">Св.б.рос.!$A$28:$H$271</definedName>
    <definedName name="_xlnm.Print_Area" localSheetId="4">'ВЕД.СТ Пр.2.'!$B$1:$M$191</definedName>
    <definedName name="_xlnm.Print_Area" localSheetId="3">св.б.р!$B$1:$N$247</definedName>
    <definedName name="_xlnm.Print_Area" localSheetId="1">Св.б.рос.!$B$1:$K$267</definedName>
  </definedNames>
  <calcPr calcId="152511"/>
</workbook>
</file>

<file path=xl/calcChain.xml><?xml version="1.0" encoding="utf-8"?>
<calcChain xmlns="http://schemas.openxmlformats.org/spreadsheetml/2006/main">
  <c r="L567" i="21" l="1"/>
  <c r="H567" i="21"/>
  <c r="H566" i="21"/>
  <c r="H565" i="21"/>
  <c r="J567" i="21"/>
  <c r="G77" i="22"/>
  <c r="F77" i="22"/>
  <c r="F76" i="22"/>
  <c r="G68" i="22"/>
  <c r="C12" i="22"/>
  <c r="K595" i="21"/>
  <c r="J595" i="21"/>
  <c r="K585" i="21"/>
  <c r="J585" i="21"/>
  <c r="K541" i="21"/>
  <c r="L541" i="21"/>
  <c r="K534" i="21"/>
  <c r="J534" i="21"/>
  <c r="K527" i="21"/>
  <c r="J527" i="21"/>
  <c r="J521" i="21"/>
  <c r="K513" i="21"/>
  <c r="J513" i="21"/>
  <c r="J512" i="21"/>
  <c r="K470" i="21"/>
  <c r="J470" i="21"/>
  <c r="J479" i="21"/>
  <c r="L488" i="21"/>
  <c r="J488" i="21"/>
  <c r="J504" i="21"/>
  <c r="L465" i="21"/>
  <c r="J465" i="21"/>
  <c r="K460" i="21"/>
  <c r="K459" i="21"/>
  <c r="J459" i="21"/>
  <c r="K453" i="21"/>
  <c r="J453" i="21"/>
  <c r="J448" i="21"/>
  <c r="K424" i="21"/>
  <c r="J424" i="21"/>
  <c r="K417" i="21"/>
  <c r="J417" i="21"/>
  <c r="L388" i="21"/>
  <c r="K388" i="21"/>
  <c r="J388" i="21"/>
  <c r="K380" i="21"/>
  <c r="J380" i="21"/>
  <c r="K359" i="21"/>
  <c r="J359" i="21"/>
  <c r="J338" i="21"/>
  <c r="J337" i="21" s="1"/>
  <c r="J336" i="21" s="1"/>
  <c r="J335" i="21" s="1"/>
  <c r="K334" i="21"/>
  <c r="J334" i="21"/>
  <c r="J307" i="21"/>
  <c r="L306" i="21"/>
  <c r="J306" i="21"/>
  <c r="L285" i="21"/>
  <c r="J285" i="21"/>
  <c r="K277" i="21"/>
  <c r="J277" i="21"/>
  <c r="L271" i="21"/>
  <c r="J271" i="21"/>
  <c r="K265" i="21"/>
  <c r="J265" i="21"/>
  <c r="K254" i="21"/>
  <c r="J254" i="21"/>
  <c r="K244" i="21"/>
  <c r="J244" i="21"/>
  <c r="L225" i="21"/>
  <c r="K225" i="21"/>
  <c r="J225" i="21"/>
  <c r="J216" i="21"/>
  <c r="J207" i="21"/>
  <c r="K204" i="21"/>
  <c r="J204" i="21"/>
  <c r="K186" i="21"/>
  <c r="J186" i="21"/>
  <c r="K183" i="21"/>
  <c r="J183" i="21"/>
  <c r="K182" i="21"/>
  <c r="J182" i="21"/>
  <c r="K181" i="21"/>
  <c r="J181" i="21"/>
  <c r="K180" i="21"/>
  <c r="J180" i="21"/>
  <c r="K179" i="21"/>
  <c r="J179" i="21"/>
  <c r="K178" i="21"/>
  <c r="J178" i="21"/>
  <c r="K174" i="21"/>
  <c r="J174" i="21"/>
  <c r="J173" i="21"/>
  <c r="K171" i="21"/>
  <c r="J171" i="21"/>
  <c r="K170" i="21"/>
  <c r="J170" i="21"/>
  <c r="K169" i="21"/>
  <c r="J169" i="21"/>
  <c r="L164" i="21"/>
  <c r="K164" i="21"/>
  <c r="J164" i="21"/>
  <c r="K163" i="21"/>
  <c r="J163" i="21"/>
  <c r="L156" i="21"/>
  <c r="K156" i="21"/>
  <c r="J156" i="21"/>
  <c r="K155" i="21"/>
  <c r="J155" i="21"/>
  <c r="J102" i="21"/>
  <c r="K98" i="21"/>
  <c r="J98" i="21"/>
  <c r="K97" i="21"/>
  <c r="J97" i="21"/>
  <c r="K95" i="21"/>
  <c r="J95" i="21"/>
  <c r="K94" i="21"/>
  <c r="J94" i="21"/>
  <c r="K93" i="21"/>
  <c r="J93" i="21"/>
  <c r="K88" i="21"/>
  <c r="J88" i="21"/>
  <c r="K87" i="21"/>
  <c r="J87" i="21"/>
  <c r="J74" i="21"/>
  <c r="L74" i="21"/>
  <c r="K74" i="21"/>
  <c r="K73" i="21"/>
  <c r="J73" i="21"/>
  <c r="L65" i="21"/>
  <c r="K65" i="21"/>
  <c r="J65" i="21"/>
  <c r="K64" i="21"/>
  <c r="J64" i="21"/>
  <c r="H100" i="22"/>
  <c r="G100" i="22"/>
  <c r="K561" i="21"/>
  <c r="L561" i="21"/>
  <c r="K567" i="21"/>
  <c r="J556" i="21"/>
  <c r="L542" i="21"/>
  <c r="K542" i="21"/>
  <c r="H101" i="22"/>
  <c r="G101" i="22"/>
  <c r="H96" i="22"/>
  <c r="G96" i="22"/>
  <c r="F96" i="22"/>
  <c r="C11" i="22"/>
  <c r="C10" i="22"/>
  <c r="K419" i="21"/>
  <c r="J398" i="21"/>
  <c r="J382" i="21"/>
  <c r="K362" i="21"/>
  <c r="K354" i="21"/>
  <c r="J354" i="21"/>
  <c r="K349" i="21"/>
  <c r="K348" i="21"/>
  <c r="K343" i="21"/>
  <c r="J332" i="21"/>
  <c r="F85" i="33"/>
  <c r="B85" i="33"/>
  <c r="J489" i="21"/>
  <c r="L521" i="21"/>
  <c r="K521" i="21"/>
  <c r="K512" i="21"/>
  <c r="L183" i="21"/>
  <c r="L171" i="21"/>
  <c r="G112" i="17"/>
  <c r="C112" i="17"/>
  <c r="G138" i="32"/>
  <c r="C138" i="32"/>
  <c r="F138" i="32"/>
  <c r="K336" i="21"/>
  <c r="K335" i="21" s="1"/>
  <c r="L336" i="21"/>
  <c r="L335" i="21" s="1"/>
  <c r="K337" i="21"/>
  <c r="L337" i="21"/>
  <c r="I337" i="21"/>
  <c r="I336" i="21" s="1"/>
  <c r="I335" i="21" s="1"/>
  <c r="I338" i="21"/>
  <c r="H338" i="21" s="1"/>
  <c r="H337" i="21" s="1"/>
  <c r="H336" i="21" s="1"/>
  <c r="H335" i="21" s="1"/>
  <c r="I138" i="32" s="1"/>
  <c r="I136" i="32" s="1"/>
  <c r="C9" i="22"/>
  <c r="C142" i="17"/>
  <c r="C144" i="17"/>
  <c r="J185" i="21"/>
  <c r="B94" i="33"/>
  <c r="B64" i="33"/>
  <c r="B65" i="33"/>
  <c r="F65" i="33"/>
  <c r="E65" i="33"/>
  <c r="C89" i="32"/>
  <c r="C101" i="32"/>
  <c r="G101" i="32"/>
  <c r="F101" i="32"/>
  <c r="F100" i="32"/>
  <c r="C100" i="32"/>
  <c r="C96" i="32"/>
  <c r="G96" i="32"/>
  <c r="F96" i="32"/>
  <c r="D96" i="32"/>
  <c r="C95" i="32"/>
  <c r="F95" i="32"/>
  <c r="D95" i="32"/>
  <c r="C8" i="22"/>
  <c r="C7" i="22"/>
  <c r="C243" i="32"/>
  <c r="G243" i="32"/>
  <c r="C239" i="32"/>
  <c r="G239" i="32"/>
  <c r="C228" i="32"/>
  <c r="G228" i="32"/>
  <c r="C226" i="32"/>
  <c r="G226" i="32"/>
  <c r="C224" i="32"/>
  <c r="G224" i="32"/>
  <c r="C223" i="32"/>
  <c r="G223" i="32"/>
  <c r="C220" i="32"/>
  <c r="G220" i="32"/>
  <c r="C217" i="32"/>
  <c r="G217" i="32"/>
  <c r="C215" i="32"/>
  <c r="G215" i="32"/>
  <c r="C208" i="32"/>
  <c r="G208" i="32"/>
  <c r="C206" i="32"/>
  <c r="G206" i="32"/>
  <c r="C203" i="32"/>
  <c r="G203" i="32"/>
  <c r="C201" i="32"/>
  <c r="G201" i="32"/>
  <c r="C199" i="32"/>
  <c r="G199" i="32"/>
  <c r="C197" i="32"/>
  <c r="G197" i="32"/>
  <c r="C195" i="32"/>
  <c r="G195" i="32"/>
  <c r="C192" i="32"/>
  <c r="G192" i="32"/>
  <c r="C190" i="32"/>
  <c r="G190" i="32"/>
  <c r="C175" i="32"/>
  <c r="G175" i="32"/>
  <c r="C173" i="32"/>
  <c r="G173" i="32"/>
  <c r="C170" i="32"/>
  <c r="G170" i="32"/>
  <c r="C166" i="32"/>
  <c r="G166" i="32"/>
  <c r="C163" i="32"/>
  <c r="G163" i="32"/>
  <c r="C160" i="32"/>
  <c r="G160" i="32"/>
  <c r="C145" i="32"/>
  <c r="G145" i="32"/>
  <c r="C142" i="32"/>
  <c r="G142" i="32"/>
  <c r="C140" i="32"/>
  <c r="G140" i="32"/>
  <c r="C137" i="32"/>
  <c r="G137" i="32"/>
  <c r="C132" i="32"/>
  <c r="G132" i="32"/>
  <c r="C126" i="32"/>
  <c r="G126" i="32"/>
  <c r="C122" i="32"/>
  <c r="G122" i="32"/>
  <c r="C114" i="32"/>
  <c r="G114" i="32"/>
  <c r="C98" i="32"/>
  <c r="G98" i="32"/>
  <c r="C94" i="32"/>
  <c r="G94" i="32"/>
  <c r="G92" i="32"/>
  <c r="C90" i="32"/>
  <c r="G90" i="32"/>
  <c r="C83" i="32"/>
  <c r="G83" i="32"/>
  <c r="C80" i="32"/>
  <c r="G80" i="32"/>
  <c r="C74" i="32"/>
  <c r="C73" i="32"/>
  <c r="C72" i="32"/>
  <c r="C70" i="32"/>
  <c r="C57" i="32"/>
  <c r="C56" i="32"/>
  <c r="C55" i="32"/>
  <c r="C49" i="32"/>
  <c r="C42" i="32"/>
  <c r="C33" i="32"/>
  <c r="C77" i="32"/>
  <c r="G77" i="32"/>
  <c r="C75" i="32"/>
  <c r="G75" i="32"/>
  <c r="G74" i="32"/>
  <c r="G73" i="32"/>
  <c r="G72" i="32"/>
  <c r="G70" i="32"/>
  <c r="G57" i="32"/>
  <c r="G56" i="32"/>
  <c r="G55" i="32"/>
  <c r="G49" i="32"/>
  <c r="G42" i="32"/>
  <c r="G33" i="32"/>
  <c r="I595" i="21"/>
  <c r="J586" i="21"/>
  <c r="I585" i="21"/>
  <c r="J555" i="21"/>
  <c r="J548" i="21"/>
  <c r="K548" i="21"/>
  <c r="L548" i="21"/>
  <c r="J546" i="21"/>
  <c r="J545" i="21"/>
  <c r="J544" i="21"/>
  <c r="K546" i="21"/>
  <c r="K545" i="21" s="1"/>
  <c r="K544" i="21" s="1"/>
  <c r="L546" i="21"/>
  <c r="I546" i="21"/>
  <c r="H546" i="21" s="1"/>
  <c r="I549" i="21"/>
  <c r="H549" i="21" s="1"/>
  <c r="I548" i="21"/>
  <c r="H548" i="21" s="1"/>
  <c r="H547" i="21"/>
  <c r="L545" i="21"/>
  <c r="L544" i="21" s="1"/>
  <c r="L543" i="21" s="1"/>
  <c r="L536" i="21" s="1"/>
  <c r="L535" i="21" s="1"/>
  <c r="L528" i="21" s="1"/>
  <c r="I534" i="21"/>
  <c r="I527" i="21"/>
  <c r="J505" i="21"/>
  <c r="I505" i="21"/>
  <c r="K504" i="21"/>
  <c r="I504" i="21"/>
  <c r="K496" i="21"/>
  <c r="I512" i="21"/>
  <c r="I513" i="21"/>
  <c r="I489" i="21"/>
  <c r="H489" i="21" s="1"/>
  <c r="K465" i="21"/>
  <c r="I459" i="21"/>
  <c r="I453" i="21"/>
  <c r="I448" i="21"/>
  <c r="I388" i="21"/>
  <c r="I359" i="21"/>
  <c r="I334" i="21"/>
  <c r="H334" i="21" s="1"/>
  <c r="I307" i="21"/>
  <c r="I306" i="21"/>
  <c r="I305" i="21" s="1"/>
  <c r="I285" i="21"/>
  <c r="J272" i="21"/>
  <c r="I272" i="21"/>
  <c r="L277" i="21"/>
  <c r="H277" i="21" s="1"/>
  <c r="I277" i="21"/>
  <c r="I271" i="21"/>
  <c r="I265" i="21"/>
  <c r="L259" i="21"/>
  <c r="L258" i="21" s="1"/>
  <c r="L257" i="21" s="1"/>
  <c r="L256" i="21" s="1"/>
  <c r="K259" i="21"/>
  <c r="J259" i="21"/>
  <c r="I259" i="21"/>
  <c r="I254" i="21"/>
  <c r="I253" i="21" s="1"/>
  <c r="I252" i="21" s="1"/>
  <c r="I251" i="21" s="1"/>
  <c r="I250" i="21" s="1"/>
  <c r="I244" i="21"/>
  <c r="L231" i="21"/>
  <c r="I231" i="21"/>
  <c r="I225" i="21"/>
  <c r="H225" i="21" s="1"/>
  <c r="H224" i="21" s="1"/>
  <c r="H223" i="21" s="1"/>
  <c r="I207" i="21"/>
  <c r="I186" i="21"/>
  <c r="I185" i="21"/>
  <c r="I183" i="21"/>
  <c r="H183" i="21" s="1"/>
  <c r="L182" i="21"/>
  <c r="I182" i="21"/>
  <c r="L181" i="21"/>
  <c r="I181" i="21"/>
  <c r="H181" i="21" s="1"/>
  <c r="I180" i="21"/>
  <c r="I179" i="21"/>
  <c r="I178" i="21"/>
  <c r="I174" i="21"/>
  <c r="I173" i="21"/>
  <c r="I171" i="21"/>
  <c r="L170" i="21"/>
  <c r="I170" i="21"/>
  <c r="J168" i="21"/>
  <c r="I169" i="21"/>
  <c r="I164" i="21"/>
  <c r="I163" i="21"/>
  <c r="I156" i="21"/>
  <c r="I102" i="21"/>
  <c r="I97" i="21"/>
  <c r="I95" i="21"/>
  <c r="I92" i="21" s="1"/>
  <c r="I91" i="21" s="1"/>
  <c r="I90" i="21" s="1"/>
  <c r="I89" i="21" s="1"/>
  <c r="H89" i="21" s="1"/>
  <c r="I94" i="21"/>
  <c r="I93" i="21"/>
  <c r="I88" i="21"/>
  <c r="I87" i="21"/>
  <c r="I74" i="21"/>
  <c r="I73" i="21"/>
  <c r="I65" i="21"/>
  <c r="I64" i="21"/>
  <c r="H64" i="21" s="1"/>
  <c r="I191" i="21"/>
  <c r="C6" i="22"/>
  <c r="L88" i="21"/>
  <c r="L87" i="21"/>
  <c r="C5" i="22"/>
  <c r="C4" i="22"/>
  <c r="I479" i="21"/>
  <c r="J480" i="21"/>
  <c r="H480" i="21" s="1"/>
  <c r="L382" i="21"/>
  <c r="D71" i="11"/>
  <c r="J542" i="21"/>
  <c r="I542" i="21"/>
  <c r="L169" i="21"/>
  <c r="H39" i="22"/>
  <c r="D99" i="11"/>
  <c r="D98" i="11"/>
  <c r="D95" i="11"/>
  <c r="D73" i="11"/>
  <c r="B28" i="31"/>
  <c r="B38" i="31"/>
  <c r="B143" i="29"/>
  <c r="F143" i="29"/>
  <c r="E143" i="29"/>
  <c r="B125" i="29"/>
  <c r="F125" i="29"/>
  <c r="B123" i="29"/>
  <c r="F123" i="29"/>
  <c r="B121" i="29"/>
  <c r="F121" i="29"/>
  <c r="F61" i="29"/>
  <c r="B61" i="29"/>
  <c r="B60" i="29"/>
  <c r="C3" i="22"/>
  <c r="A2" i="28"/>
  <c r="C92" i="32"/>
  <c r="G86" i="17"/>
  <c r="E86" i="17"/>
  <c r="E85" i="17"/>
  <c r="C86" i="17"/>
  <c r="C85" i="17"/>
  <c r="L424" i="21"/>
  <c r="J419" i="21"/>
  <c r="L417" i="21"/>
  <c r="K398" i="21"/>
  <c r="I382" i="21"/>
  <c r="L380" i="21"/>
  <c r="H249" i="21"/>
  <c r="H248" i="21"/>
  <c r="H247" i="21" s="1"/>
  <c r="L248" i="21"/>
  <c r="K248" i="21"/>
  <c r="K247" i="21"/>
  <c r="K246" i="21" s="1"/>
  <c r="K245" i="21" s="1"/>
  <c r="J248" i="21"/>
  <c r="J247" i="21"/>
  <c r="J246" i="21" s="1"/>
  <c r="I248" i="21"/>
  <c r="I247" i="21"/>
  <c r="I246" i="21" s="1"/>
  <c r="D248" i="21"/>
  <c r="D247" i="21" s="1"/>
  <c r="L247" i="21"/>
  <c r="L246" i="21" s="1"/>
  <c r="L245" i="21" s="1"/>
  <c r="E199" i="32"/>
  <c r="D199" i="32"/>
  <c r="E198" i="32"/>
  <c r="D198" i="32"/>
  <c r="C202" i="32"/>
  <c r="C200" i="32"/>
  <c r="E196" i="32"/>
  <c r="E195" i="32"/>
  <c r="D195" i="32"/>
  <c r="E194" i="32"/>
  <c r="F202" i="32"/>
  <c r="F217" i="32"/>
  <c r="E217" i="32"/>
  <c r="D217" i="32"/>
  <c r="E216" i="32"/>
  <c r="D216" i="32"/>
  <c r="C211" i="32"/>
  <c r="F211" i="32"/>
  <c r="C113" i="32"/>
  <c r="F114" i="32"/>
  <c r="G60" i="32"/>
  <c r="B12" i="32"/>
  <c r="B13" i="32"/>
  <c r="F74" i="32"/>
  <c r="B38" i="34"/>
  <c r="B37" i="34"/>
  <c r="B36" i="34"/>
  <c r="B35" i="34"/>
  <c r="B34" i="34"/>
  <c r="B33" i="34"/>
  <c r="B32" i="34"/>
  <c r="B31" i="34"/>
  <c r="B30" i="34"/>
  <c r="B29" i="34"/>
  <c r="B25" i="34"/>
  <c r="B28" i="34"/>
  <c r="B27" i="34"/>
  <c r="B26" i="34"/>
  <c r="B23" i="34"/>
  <c r="B24" i="34"/>
  <c r="B20" i="34"/>
  <c r="B22" i="34"/>
  <c r="B21" i="34"/>
  <c r="B19" i="34"/>
  <c r="B18" i="34"/>
  <c r="B17" i="34"/>
  <c r="B16" i="34"/>
  <c r="B15" i="34"/>
  <c r="B14" i="34"/>
  <c r="B13" i="34"/>
  <c r="C149" i="17"/>
  <c r="D149" i="17"/>
  <c r="E149" i="17"/>
  <c r="G149" i="17"/>
  <c r="D148" i="17"/>
  <c r="E148" i="17"/>
  <c r="B23" i="31"/>
  <c r="C23" i="31"/>
  <c r="B20" i="31"/>
  <c r="C60" i="32" s="1"/>
  <c r="J520" i="21"/>
  <c r="K520" i="21"/>
  <c r="L520" i="21"/>
  <c r="I520" i="21"/>
  <c r="J92" i="21"/>
  <c r="K92" i="21"/>
  <c r="L92" i="21"/>
  <c r="H94" i="21"/>
  <c r="H93" i="21"/>
  <c r="F118" i="33"/>
  <c r="B118" i="33"/>
  <c r="D117" i="33"/>
  <c r="D118" i="33"/>
  <c r="J464" i="21"/>
  <c r="J463" i="21" s="1"/>
  <c r="J462" i="21" s="1"/>
  <c r="L464" i="21"/>
  <c r="I464" i="21"/>
  <c r="B59" i="33"/>
  <c r="B58" i="33"/>
  <c r="F59" i="33"/>
  <c r="C64" i="17"/>
  <c r="C63" i="17"/>
  <c r="G64" i="17"/>
  <c r="C62" i="17"/>
  <c r="H108" i="21"/>
  <c r="H107" i="21"/>
  <c r="H106" i="21" s="1"/>
  <c r="L107" i="21"/>
  <c r="L106" i="21" s="1"/>
  <c r="L105" i="21"/>
  <c r="L104" i="21" s="1"/>
  <c r="L103" i="21" s="1"/>
  <c r="K107" i="21"/>
  <c r="K106" i="21"/>
  <c r="K105" i="21"/>
  <c r="K104" i="21" s="1"/>
  <c r="K103" i="21" s="1"/>
  <c r="J107" i="21"/>
  <c r="J106" i="21" s="1"/>
  <c r="J105" i="21" s="1"/>
  <c r="I107" i="21"/>
  <c r="I106" i="21" s="1"/>
  <c r="I105" i="21" s="1"/>
  <c r="D107" i="21"/>
  <c r="D106" i="21"/>
  <c r="J104" i="21"/>
  <c r="J103" i="21" s="1"/>
  <c r="B138" i="33"/>
  <c r="F138" i="33"/>
  <c r="E138" i="33"/>
  <c r="E137" i="33" s="1"/>
  <c r="C138" i="33"/>
  <c r="B124" i="33"/>
  <c r="F124" i="33"/>
  <c r="B116" i="33"/>
  <c r="F116" i="33"/>
  <c r="C95" i="17"/>
  <c r="C96" i="17"/>
  <c r="C101" i="17"/>
  <c r="C102" i="17"/>
  <c r="C105" i="17"/>
  <c r="C109" i="17"/>
  <c r="C108" i="17"/>
  <c r="C187" i="17"/>
  <c r="C183" i="17"/>
  <c r="C182" i="17"/>
  <c r="C186" i="17"/>
  <c r="C169" i="17"/>
  <c r="G169" i="17"/>
  <c r="F169" i="17"/>
  <c r="F168" i="17" s="1"/>
  <c r="C174" i="17"/>
  <c r="C171" i="17"/>
  <c r="C170" i="17"/>
  <c r="C165" i="17"/>
  <c r="C162" i="17"/>
  <c r="C163" i="17"/>
  <c r="C161" i="17"/>
  <c r="C139" i="17"/>
  <c r="C155" i="17"/>
  <c r="G155" i="17"/>
  <c r="C147" i="17"/>
  <c r="G147" i="17"/>
  <c r="C140" i="17"/>
  <c r="J458" i="21"/>
  <c r="J457" i="21"/>
  <c r="K458" i="21"/>
  <c r="K457" i="21" s="1"/>
  <c r="K456" i="21" s="1"/>
  <c r="K455" i="21"/>
  <c r="L458" i="21"/>
  <c r="L457" i="21" s="1"/>
  <c r="L456" i="21" s="1"/>
  <c r="L455" i="21"/>
  <c r="I458" i="21"/>
  <c r="I457" i="21" s="1"/>
  <c r="H460" i="21"/>
  <c r="H459" i="21"/>
  <c r="J526" i="21"/>
  <c r="J525" i="21" s="1"/>
  <c r="K526" i="21"/>
  <c r="K525" i="21"/>
  <c r="K524" i="21"/>
  <c r="K523" i="21" s="1"/>
  <c r="L526" i="21"/>
  <c r="L525" i="21" s="1"/>
  <c r="L524" i="21" s="1"/>
  <c r="L523" i="21" s="1"/>
  <c r="I526" i="21"/>
  <c r="I525" i="21"/>
  <c r="H488" i="21"/>
  <c r="H487" i="21" s="1"/>
  <c r="H486" i="21" s="1"/>
  <c r="L487" i="21"/>
  <c r="L486" i="21" s="1"/>
  <c r="L485" i="21" s="1"/>
  <c r="L484" i="21" s="1"/>
  <c r="L483" i="21" s="1"/>
  <c r="K487" i="21"/>
  <c r="K486" i="21" s="1"/>
  <c r="K485" i="21" s="1"/>
  <c r="K484" i="21" s="1"/>
  <c r="K483" i="21" s="1"/>
  <c r="J487" i="21"/>
  <c r="I487" i="21"/>
  <c r="I486" i="21"/>
  <c r="I485" i="21" s="1"/>
  <c r="I484" i="21" s="1"/>
  <c r="I483" i="21" s="1"/>
  <c r="H527" i="21"/>
  <c r="K519" i="21"/>
  <c r="K518" i="21" s="1"/>
  <c r="C80" i="17"/>
  <c r="C77" i="17"/>
  <c r="C67" i="17"/>
  <c r="H18" i="29"/>
  <c r="H16" i="29"/>
  <c r="B163" i="29"/>
  <c r="F163" i="29"/>
  <c r="E163" i="29"/>
  <c r="E162" i="29" s="1"/>
  <c r="F159" i="29"/>
  <c r="E159" i="29"/>
  <c r="B159" i="29"/>
  <c r="E158" i="29"/>
  <c r="B158" i="29"/>
  <c r="H154" i="29"/>
  <c r="H19" i="29" s="1"/>
  <c r="I154" i="29"/>
  <c r="I19" i="29" s="1"/>
  <c r="F155" i="29"/>
  <c r="E155" i="29"/>
  <c r="B155" i="29"/>
  <c r="E154" i="29"/>
  <c r="H152" i="29"/>
  <c r="I152" i="29"/>
  <c r="I18" i="29" s="1"/>
  <c r="F153" i="29"/>
  <c r="B153" i="29"/>
  <c r="E153" i="29"/>
  <c r="E152" i="29" s="1"/>
  <c r="H149" i="29"/>
  <c r="H148" i="29"/>
  <c r="I149" i="29"/>
  <c r="I148" i="29" s="1"/>
  <c r="F151" i="29"/>
  <c r="B151" i="29"/>
  <c r="F150" i="29"/>
  <c r="E150" i="29"/>
  <c r="E149" i="29" s="1"/>
  <c r="B150" i="29"/>
  <c r="F147" i="29"/>
  <c r="E147" i="29"/>
  <c r="E146" i="29" s="1"/>
  <c r="B147" i="29"/>
  <c r="F141" i="29"/>
  <c r="B139" i="29"/>
  <c r="B141" i="29"/>
  <c r="B140" i="29"/>
  <c r="F138" i="29"/>
  <c r="E138" i="29"/>
  <c r="E137" i="29" s="1"/>
  <c r="B138" i="29"/>
  <c r="B137" i="29"/>
  <c r="F134" i="29"/>
  <c r="E133" i="29"/>
  <c r="B134" i="29"/>
  <c r="B132" i="29"/>
  <c r="B133" i="29"/>
  <c r="F132" i="29"/>
  <c r="F129" i="29"/>
  <c r="B129" i="29"/>
  <c r="F127" i="29"/>
  <c r="E127" i="29"/>
  <c r="B127" i="29"/>
  <c r="E126" i="29"/>
  <c r="B126" i="29"/>
  <c r="F116" i="29"/>
  <c r="F118" i="29"/>
  <c r="E118" i="29"/>
  <c r="E117" i="29" s="1"/>
  <c r="B118" i="29"/>
  <c r="B117" i="29"/>
  <c r="E116" i="29"/>
  <c r="E115" i="29" s="1"/>
  <c r="B116" i="29"/>
  <c r="B115" i="29"/>
  <c r="F108" i="29"/>
  <c r="B108" i="29"/>
  <c r="F106" i="29"/>
  <c r="E106" i="29"/>
  <c r="E105" i="29" s="1"/>
  <c r="B106" i="29"/>
  <c r="F104" i="29"/>
  <c r="B104" i="29"/>
  <c r="F102" i="29"/>
  <c r="E102" i="29"/>
  <c r="B102" i="29"/>
  <c r="E101" i="29"/>
  <c r="F100" i="29"/>
  <c r="E100" i="29"/>
  <c r="B100" i="29"/>
  <c r="E99" i="29"/>
  <c r="F96" i="29"/>
  <c r="F98" i="29"/>
  <c r="B98" i="29"/>
  <c r="E96" i="29"/>
  <c r="E95" i="29" s="1"/>
  <c r="B96" i="29"/>
  <c r="F94" i="29"/>
  <c r="E94" i="29"/>
  <c r="E93" i="29" s="1"/>
  <c r="B94" i="29"/>
  <c r="F92" i="29"/>
  <c r="E92" i="29"/>
  <c r="E91" i="29" s="1"/>
  <c r="B92" i="29"/>
  <c r="F90" i="29"/>
  <c r="E90" i="29"/>
  <c r="E89" i="29"/>
  <c r="B90" i="29"/>
  <c r="F86" i="29"/>
  <c r="E86" i="29"/>
  <c r="E85" i="29"/>
  <c r="B86" i="29"/>
  <c r="F83" i="29"/>
  <c r="E83" i="29"/>
  <c r="E82" i="29" s="1"/>
  <c r="B83" i="29"/>
  <c r="B82" i="29"/>
  <c r="F79" i="29"/>
  <c r="B79" i="29"/>
  <c r="B77" i="29"/>
  <c r="F77" i="29"/>
  <c r="E77" i="29"/>
  <c r="E76" i="29" s="1"/>
  <c r="F73" i="29"/>
  <c r="E73" i="29"/>
  <c r="B73" i="29"/>
  <c r="E72" i="29"/>
  <c r="F71" i="29"/>
  <c r="E71" i="29"/>
  <c r="E70" i="29"/>
  <c r="B71" i="29"/>
  <c r="F69" i="29"/>
  <c r="B69" i="29"/>
  <c r="B68" i="29"/>
  <c r="F67" i="29"/>
  <c r="E67" i="29"/>
  <c r="B67" i="29"/>
  <c r="F65" i="29"/>
  <c r="E65" i="29"/>
  <c r="E64" i="29" s="1"/>
  <c r="B65" i="29"/>
  <c r="F63" i="29"/>
  <c r="B63" i="29"/>
  <c r="B62" i="29"/>
  <c r="F59" i="29"/>
  <c r="B59" i="29"/>
  <c r="B58" i="29"/>
  <c r="F57" i="29"/>
  <c r="E57" i="29"/>
  <c r="B57" i="29"/>
  <c r="E56" i="29"/>
  <c r="F54" i="29"/>
  <c r="E54" i="29"/>
  <c r="B54" i="29"/>
  <c r="F51" i="29"/>
  <c r="E51" i="29"/>
  <c r="B51" i="29"/>
  <c r="E50" i="29"/>
  <c r="B50" i="29"/>
  <c r="F49" i="29"/>
  <c r="E49" i="29"/>
  <c r="F48" i="29"/>
  <c r="E48" i="29"/>
  <c r="F47" i="29"/>
  <c r="B47" i="29"/>
  <c r="F46" i="29"/>
  <c r="E46" i="29"/>
  <c r="B46" i="29"/>
  <c r="E45" i="29"/>
  <c r="F44" i="29"/>
  <c r="E44" i="29"/>
  <c r="B44" i="29"/>
  <c r="F39" i="29"/>
  <c r="F38" i="29"/>
  <c r="F37" i="29"/>
  <c r="E39" i="29"/>
  <c r="E38" i="29"/>
  <c r="E37" i="29"/>
  <c r="B39" i="29"/>
  <c r="B38" i="29"/>
  <c r="B37" i="29"/>
  <c r="E36" i="29"/>
  <c r="B36" i="29"/>
  <c r="F35" i="29"/>
  <c r="E35" i="29"/>
  <c r="B35" i="29"/>
  <c r="E34" i="29"/>
  <c r="F33" i="29"/>
  <c r="E33" i="29"/>
  <c r="E32" i="29"/>
  <c r="B32" i="29"/>
  <c r="B31" i="29"/>
  <c r="F30" i="29"/>
  <c r="E30" i="29"/>
  <c r="B33" i="29"/>
  <c r="B30" i="29"/>
  <c r="B107" i="29"/>
  <c r="B105" i="29"/>
  <c r="B103" i="29"/>
  <c r="B101" i="29"/>
  <c r="B99" i="29"/>
  <c r="B95" i="29"/>
  <c r="B93" i="29"/>
  <c r="B91" i="29"/>
  <c r="B85" i="29"/>
  <c r="B76" i="29"/>
  <c r="B72" i="29"/>
  <c r="B70" i="29"/>
  <c r="B49" i="29"/>
  <c r="B48" i="29"/>
  <c r="H41" i="22"/>
  <c r="F185" i="17"/>
  <c r="F184" i="17"/>
  <c r="F164" i="17"/>
  <c r="F163" i="17"/>
  <c r="F151" i="17"/>
  <c r="B98" i="33"/>
  <c r="F107" i="17"/>
  <c r="F106" i="17"/>
  <c r="E70" i="33"/>
  <c r="B66" i="33"/>
  <c r="E66" i="33"/>
  <c r="B67" i="33"/>
  <c r="E67" i="33"/>
  <c r="F67" i="33"/>
  <c r="F63" i="33"/>
  <c r="E63" i="33"/>
  <c r="B63" i="33"/>
  <c r="E62" i="33"/>
  <c r="B62" i="33"/>
  <c r="F40" i="33"/>
  <c r="B40" i="33"/>
  <c r="G73" i="17"/>
  <c r="C73" i="17"/>
  <c r="J191" i="21"/>
  <c r="J190" i="21" s="1"/>
  <c r="J188" i="21" s="1"/>
  <c r="J187" i="21" s="1"/>
  <c r="K191" i="21"/>
  <c r="K190" i="21"/>
  <c r="L191" i="21"/>
  <c r="L190" i="21" s="1"/>
  <c r="L188" i="21" s="1"/>
  <c r="I190" i="21"/>
  <c r="G92" i="17"/>
  <c r="F92" i="17"/>
  <c r="C92" i="17"/>
  <c r="F91" i="17"/>
  <c r="C91" i="17"/>
  <c r="C128" i="17"/>
  <c r="G94" i="17"/>
  <c r="C94" i="17"/>
  <c r="F94" i="17"/>
  <c r="C93" i="17"/>
  <c r="F93" i="17"/>
  <c r="K168" i="21"/>
  <c r="L168" i="21"/>
  <c r="H171" i="21"/>
  <c r="K306" i="21"/>
  <c r="K305" i="21" s="1"/>
  <c r="K304" i="21" s="1"/>
  <c r="K303" i="21" s="1"/>
  <c r="K302" i="21" s="1"/>
  <c r="B42" i="31"/>
  <c r="B32" i="31"/>
  <c r="C32" i="31"/>
  <c r="B47" i="31"/>
  <c r="B58" i="31"/>
  <c r="C58" i="31"/>
  <c r="B50" i="31"/>
  <c r="C50" i="31"/>
  <c r="B26" i="31"/>
  <c r="C26" i="31"/>
  <c r="B25" i="31"/>
  <c r="C25" i="31"/>
  <c r="J276" i="21"/>
  <c r="J275" i="21" s="1"/>
  <c r="J274" i="21"/>
  <c r="K276" i="21"/>
  <c r="K275" i="21"/>
  <c r="K274" i="21" s="1"/>
  <c r="K273" i="21" s="1"/>
  <c r="I276" i="21"/>
  <c r="L278" i="21"/>
  <c r="H278" i="21" s="1"/>
  <c r="B57" i="31"/>
  <c r="C57" i="31"/>
  <c r="B56" i="31"/>
  <c r="C56" i="31"/>
  <c r="B55" i="31"/>
  <c r="A523" i="21"/>
  <c r="B54" i="31"/>
  <c r="C54" i="31"/>
  <c r="D478" i="21"/>
  <c r="D477" i="21"/>
  <c r="D476" i="21" s="1"/>
  <c r="F200" i="32"/>
  <c r="H265" i="21"/>
  <c r="L264" i="21"/>
  <c r="L263" i="21" s="1"/>
  <c r="L262" i="21"/>
  <c r="L261" i="21"/>
  <c r="K264" i="21"/>
  <c r="K263" i="21" s="1"/>
  <c r="K262" i="21" s="1"/>
  <c r="K261" i="21" s="1"/>
  <c r="J264" i="21"/>
  <c r="J263" i="21" s="1"/>
  <c r="J262" i="21"/>
  <c r="I264" i="21"/>
  <c r="I263" i="21"/>
  <c r="I262" i="21" s="1"/>
  <c r="J554" i="21"/>
  <c r="B11" i="32"/>
  <c r="I556" i="21"/>
  <c r="I555" i="21"/>
  <c r="J239" i="21"/>
  <c r="J238" i="21" s="1"/>
  <c r="J237" i="21" s="1"/>
  <c r="J236" i="21" s="1"/>
  <c r="J370" i="21"/>
  <c r="J368" i="21"/>
  <c r="B10" i="32"/>
  <c r="B9" i="32"/>
  <c r="J260" i="21"/>
  <c r="H260" i="21" s="1"/>
  <c r="D70" i="11"/>
  <c r="C70" i="11"/>
  <c r="H69" i="22"/>
  <c r="C188" i="17"/>
  <c r="C184" i="17"/>
  <c r="C180" i="17"/>
  <c r="C178" i="17"/>
  <c r="C175" i="17"/>
  <c r="C166" i="17"/>
  <c r="C159" i="17"/>
  <c r="C157" i="17"/>
  <c r="C151" i="17"/>
  <c r="C152" i="17"/>
  <c r="C143" i="17"/>
  <c r="C137" i="17"/>
  <c r="C135" i="17"/>
  <c r="C132" i="17"/>
  <c r="C125" i="17"/>
  <c r="C123" i="17"/>
  <c r="C119" i="17"/>
  <c r="C117" i="17"/>
  <c r="C115" i="17"/>
  <c r="C113" i="17"/>
  <c r="C110" i="17"/>
  <c r="C106" i="17"/>
  <c r="C103" i="17"/>
  <c r="C99" i="17"/>
  <c r="C97" i="17"/>
  <c r="C89" i="17"/>
  <c r="C87" i="17"/>
  <c r="C83" i="17"/>
  <c r="C81" i="17"/>
  <c r="C78" i="17"/>
  <c r="C70" i="17"/>
  <c r="C68" i="17"/>
  <c r="C58" i="17"/>
  <c r="C46" i="17"/>
  <c r="C44" i="17"/>
  <c r="C40" i="17"/>
  <c r="C150" i="17"/>
  <c r="F33" i="33"/>
  <c r="E33" i="33"/>
  <c r="B33" i="33"/>
  <c r="E110" i="33"/>
  <c r="B110" i="33"/>
  <c r="F111" i="33"/>
  <c r="E111" i="33"/>
  <c r="B111" i="33"/>
  <c r="B8" i="32"/>
  <c r="K382" i="21"/>
  <c r="B7" i="32"/>
  <c r="I204" i="21"/>
  <c r="I98" i="21"/>
  <c r="C61" i="17"/>
  <c r="G61" i="17"/>
  <c r="C141" i="17"/>
  <c r="G142" i="17"/>
  <c r="B6" i="32"/>
  <c r="L519" i="21"/>
  <c r="H207" i="21"/>
  <c r="H206" i="21" s="1"/>
  <c r="H205" i="21" s="1"/>
  <c r="L206" i="21"/>
  <c r="L205" i="21"/>
  <c r="K206" i="21"/>
  <c r="K205" i="21" s="1"/>
  <c r="J206" i="21"/>
  <c r="J205" i="21"/>
  <c r="I206" i="21"/>
  <c r="I205" i="21" s="1"/>
  <c r="J519" i="21"/>
  <c r="H519" i="21" s="1"/>
  <c r="I215" i="32" s="1"/>
  <c r="J101" i="21"/>
  <c r="J100" i="21" s="1"/>
  <c r="K101" i="21"/>
  <c r="K100" i="21" s="1"/>
  <c r="K99" i="21" s="1"/>
  <c r="L101" i="21"/>
  <c r="L100" i="21"/>
  <c r="L99" i="21" s="1"/>
  <c r="I101" i="21"/>
  <c r="H102" i="21"/>
  <c r="B5" i="32"/>
  <c r="J405" i="21"/>
  <c r="J404" i="21" s="1"/>
  <c r="C2" i="22"/>
  <c r="B4" i="32"/>
  <c r="B3" i="32"/>
  <c r="K505" i="21"/>
  <c r="K503" i="21" s="1"/>
  <c r="L272" i="21"/>
  <c r="H272" i="21" s="1"/>
  <c r="B128" i="29"/>
  <c r="C242" i="32"/>
  <c r="F243" i="32"/>
  <c r="F228" i="32"/>
  <c r="C227" i="32"/>
  <c r="F227" i="32"/>
  <c r="C225" i="32"/>
  <c r="F226" i="32"/>
  <c r="F225" i="32"/>
  <c r="C222" i="32"/>
  <c r="F222" i="32"/>
  <c r="F223" i="32"/>
  <c r="F220" i="32"/>
  <c r="F203" i="32"/>
  <c r="F173" i="32"/>
  <c r="F166" i="32"/>
  <c r="F163" i="32"/>
  <c r="F156" i="32"/>
  <c r="C20" i="32"/>
  <c r="D20" i="32"/>
  <c r="F145" i="32"/>
  <c r="F142" i="32"/>
  <c r="F140" i="32"/>
  <c r="F137" i="32"/>
  <c r="F132" i="32"/>
  <c r="C125" i="32"/>
  <c r="F126" i="32"/>
  <c r="G88" i="32"/>
  <c r="F79" i="32"/>
  <c r="F80" i="32"/>
  <c r="F77" i="32"/>
  <c r="C76" i="32"/>
  <c r="F76" i="32"/>
  <c r="C22" i="32"/>
  <c r="C25" i="32"/>
  <c r="G25" i="32"/>
  <c r="D25" i="32"/>
  <c r="B25" i="32"/>
  <c r="D24" i="32"/>
  <c r="B24" i="32"/>
  <c r="C23" i="32"/>
  <c r="G23" i="32"/>
  <c r="D23" i="32"/>
  <c r="B23" i="32"/>
  <c r="G22" i="32"/>
  <c r="D22" i="32"/>
  <c r="B22" i="32"/>
  <c r="D21" i="32"/>
  <c r="D19" i="32"/>
  <c r="C19" i="32"/>
  <c r="K23" i="21"/>
  <c r="L23" i="21"/>
  <c r="I23" i="21"/>
  <c r="J23" i="21"/>
  <c r="B49" i="33"/>
  <c r="F49" i="33"/>
  <c r="B48" i="33"/>
  <c r="E48" i="33"/>
  <c r="E49" i="33"/>
  <c r="B158" i="33"/>
  <c r="F158" i="33"/>
  <c r="D158" i="33"/>
  <c r="C158" i="33"/>
  <c r="B157" i="33"/>
  <c r="E157" i="33"/>
  <c r="E158" i="33"/>
  <c r="B156" i="33"/>
  <c r="B155" i="33"/>
  <c r="B154" i="33"/>
  <c r="F154" i="33"/>
  <c r="B153" i="33"/>
  <c r="B152" i="33"/>
  <c r="B151" i="33"/>
  <c r="B150" i="33"/>
  <c r="F150" i="33"/>
  <c r="B149" i="33"/>
  <c r="E149" i="33"/>
  <c r="E150" i="33"/>
  <c r="B148" i="33"/>
  <c r="F148" i="33"/>
  <c r="B147" i="33"/>
  <c r="E147" i="33"/>
  <c r="E148" i="33"/>
  <c r="B146" i="33"/>
  <c r="F146" i="33"/>
  <c r="C146" i="33"/>
  <c r="C147" i="33"/>
  <c r="C148" i="33"/>
  <c r="C149" i="33" s="1"/>
  <c r="C150" i="33" s="1"/>
  <c r="B145" i="33"/>
  <c r="F145" i="33"/>
  <c r="D145" i="33"/>
  <c r="D146" i="33"/>
  <c r="D147" i="33"/>
  <c r="D148" i="33"/>
  <c r="D149" i="33" s="1"/>
  <c r="D150" i="33"/>
  <c r="B144" i="33"/>
  <c r="E144" i="33"/>
  <c r="E145" i="33" s="1"/>
  <c r="E146" i="33"/>
  <c r="B143" i="33"/>
  <c r="B142" i="33"/>
  <c r="B141" i="33"/>
  <c r="F142" i="33"/>
  <c r="E141" i="33"/>
  <c r="E142" i="33" s="1"/>
  <c r="D141" i="33"/>
  <c r="C141" i="33"/>
  <c r="B140" i="33"/>
  <c r="B139" i="33"/>
  <c r="B136" i="33"/>
  <c r="F136" i="33"/>
  <c r="B135" i="33"/>
  <c r="B134" i="33"/>
  <c r="B133" i="33"/>
  <c r="F133" i="33"/>
  <c r="C136" i="33"/>
  <c r="B132" i="33"/>
  <c r="D132" i="33"/>
  <c r="C132" i="33"/>
  <c r="B131" i="33"/>
  <c r="B130" i="33"/>
  <c r="B129" i="33"/>
  <c r="F129" i="33"/>
  <c r="B128" i="33"/>
  <c r="B127" i="33"/>
  <c r="F127" i="33"/>
  <c r="B126" i="33"/>
  <c r="D126" i="33"/>
  <c r="D127" i="33" s="1"/>
  <c r="D128" i="33" s="1"/>
  <c r="D129" i="33"/>
  <c r="C126" i="33"/>
  <c r="C127" i="33" s="1"/>
  <c r="C128" i="33" s="1"/>
  <c r="C129" i="33" s="1"/>
  <c r="B125" i="33"/>
  <c r="B122" i="33"/>
  <c r="F122" i="33"/>
  <c r="B121" i="33"/>
  <c r="B120" i="33"/>
  <c r="F120" i="33"/>
  <c r="B119" i="33"/>
  <c r="B114" i="33"/>
  <c r="B113" i="33"/>
  <c r="F113" i="33"/>
  <c r="B112" i="33"/>
  <c r="E112" i="33"/>
  <c r="E113" i="33"/>
  <c r="D112" i="33"/>
  <c r="D113" i="33" s="1"/>
  <c r="D119" i="33"/>
  <c r="D120" i="33" s="1"/>
  <c r="D121" i="33" s="1"/>
  <c r="D122" i="33" s="1"/>
  <c r="D123" i="33" s="1"/>
  <c r="D124" i="33"/>
  <c r="C112" i="33"/>
  <c r="C115" i="33" s="1"/>
  <c r="C116" i="33"/>
  <c r="D110" i="33"/>
  <c r="C110" i="33"/>
  <c r="B109" i="33"/>
  <c r="B114" i="29"/>
  <c r="B108" i="33"/>
  <c r="B107" i="33"/>
  <c r="F107" i="33"/>
  <c r="B106" i="33"/>
  <c r="B105" i="33"/>
  <c r="F105" i="33"/>
  <c r="B104" i="33"/>
  <c r="E104" i="33"/>
  <c r="E105" i="33"/>
  <c r="F103" i="33"/>
  <c r="D105" i="33"/>
  <c r="D106" i="33"/>
  <c r="D107" i="33"/>
  <c r="C105" i="33"/>
  <c r="C106" i="33" s="1"/>
  <c r="C107" i="33" s="1"/>
  <c r="B103" i="33"/>
  <c r="B102" i="33"/>
  <c r="B101" i="33"/>
  <c r="F101" i="33"/>
  <c r="B100" i="33"/>
  <c r="B99" i="33"/>
  <c r="F99" i="33"/>
  <c r="E98" i="33"/>
  <c r="E99" i="33"/>
  <c r="D99" i="33"/>
  <c r="D100" i="33" s="1"/>
  <c r="D101" i="33"/>
  <c r="D102" i="33" s="1"/>
  <c r="D103" i="33"/>
  <c r="C99" i="33"/>
  <c r="C100" i="33"/>
  <c r="C101" i="33" s="1"/>
  <c r="C102" i="33"/>
  <c r="C103" i="33" s="1"/>
  <c r="B97" i="33"/>
  <c r="F97" i="33"/>
  <c r="B96" i="33"/>
  <c r="E96" i="33"/>
  <c r="E97" i="33"/>
  <c r="B95" i="33"/>
  <c r="F95" i="33"/>
  <c r="B93" i="33"/>
  <c r="F93" i="33"/>
  <c r="B92" i="33"/>
  <c r="E92" i="33"/>
  <c r="E93" i="33" s="1"/>
  <c r="D94" i="33"/>
  <c r="D95" i="33"/>
  <c r="D96" i="33"/>
  <c r="D97" i="33" s="1"/>
  <c r="C94" i="33"/>
  <c r="C95" i="33"/>
  <c r="C96" i="33"/>
  <c r="C97" i="33" s="1"/>
  <c r="B91" i="33"/>
  <c r="F91" i="33"/>
  <c r="B90" i="33"/>
  <c r="E90" i="33"/>
  <c r="E91" i="33"/>
  <c r="B89" i="33"/>
  <c r="F89" i="33"/>
  <c r="B88" i="33"/>
  <c r="E88" i="33"/>
  <c r="E89" i="33" s="1"/>
  <c r="J269" i="21"/>
  <c r="K269" i="21"/>
  <c r="L269" i="21"/>
  <c r="L268" i="21" s="1"/>
  <c r="L267" i="21" s="1"/>
  <c r="I269" i="21"/>
  <c r="K502" i="21"/>
  <c r="K501" i="21"/>
  <c r="K500" i="21" s="1"/>
  <c r="L503" i="21"/>
  <c r="I503" i="21"/>
  <c r="J305" i="21"/>
  <c r="L305" i="21"/>
  <c r="H307" i="21"/>
  <c r="B87" i="33"/>
  <c r="F87" i="33"/>
  <c r="E87" i="33"/>
  <c r="B86" i="33"/>
  <c r="E86" i="33"/>
  <c r="D89" i="33"/>
  <c r="D90" i="33" s="1"/>
  <c r="D91" i="33" s="1"/>
  <c r="D92" i="33" s="1"/>
  <c r="C89" i="33"/>
  <c r="C90" i="33"/>
  <c r="C91" i="33" s="1"/>
  <c r="C92" i="33" s="1"/>
  <c r="B84" i="33"/>
  <c r="F84" i="33"/>
  <c r="D83" i="33"/>
  <c r="D84" i="33" s="1"/>
  <c r="D86" i="33" s="1"/>
  <c r="D87" i="33" s="1"/>
  <c r="C83" i="33"/>
  <c r="C84" i="33" s="1"/>
  <c r="C86" i="33"/>
  <c r="C87" i="33" s="1"/>
  <c r="B83" i="33"/>
  <c r="E83" i="33"/>
  <c r="E84" i="33"/>
  <c r="B82" i="33"/>
  <c r="B81" i="33"/>
  <c r="B80" i="33"/>
  <c r="F80" i="33"/>
  <c r="B79" i="33"/>
  <c r="E79" i="33"/>
  <c r="E80" i="33" s="1"/>
  <c r="D79" i="33"/>
  <c r="D80" i="33"/>
  <c r="B78" i="33"/>
  <c r="B77" i="33"/>
  <c r="F77" i="33"/>
  <c r="B76" i="33"/>
  <c r="E76" i="33"/>
  <c r="E77" i="33" s="1"/>
  <c r="D76" i="33"/>
  <c r="D77" i="33" s="1"/>
  <c r="C76" i="33"/>
  <c r="C77" i="33" s="1"/>
  <c r="C78" i="33"/>
  <c r="C79" i="33" s="1"/>
  <c r="C80" i="33" s="1"/>
  <c r="B75" i="33"/>
  <c r="B74" i="33"/>
  <c r="B73" i="33"/>
  <c r="B72" i="33"/>
  <c r="F73" i="33"/>
  <c r="B71" i="33"/>
  <c r="F71" i="33"/>
  <c r="B70" i="33"/>
  <c r="D71" i="33"/>
  <c r="D72" i="33"/>
  <c r="D73" i="33" s="1"/>
  <c r="B69" i="33"/>
  <c r="B75" i="29" s="1"/>
  <c r="C69" i="33"/>
  <c r="C71" i="33"/>
  <c r="C72" i="33" s="1"/>
  <c r="C73" i="33" s="1"/>
  <c r="B68" i="33"/>
  <c r="B61" i="33"/>
  <c r="F61" i="33"/>
  <c r="B60" i="33"/>
  <c r="B57" i="33"/>
  <c r="F57" i="33"/>
  <c r="B56" i="33"/>
  <c r="B55" i="33"/>
  <c r="F55" i="33"/>
  <c r="B54" i="33"/>
  <c r="E54" i="33"/>
  <c r="E55" i="33" s="1"/>
  <c r="D54" i="33"/>
  <c r="D55" i="33" s="1"/>
  <c r="D57" i="33"/>
  <c r="D58" i="33" s="1"/>
  <c r="D59" i="33"/>
  <c r="D60" i="33"/>
  <c r="D61" i="33" s="1"/>
  <c r="C54" i="33"/>
  <c r="C55" i="33"/>
  <c r="C57" i="33"/>
  <c r="C58" i="33" s="1"/>
  <c r="C59" i="33" s="1"/>
  <c r="C60" i="33"/>
  <c r="C61" i="33" s="1"/>
  <c r="B53" i="33"/>
  <c r="B52" i="33"/>
  <c r="F52" i="33"/>
  <c r="B51" i="33"/>
  <c r="E51" i="33"/>
  <c r="E52" i="33" s="1"/>
  <c r="D51" i="33"/>
  <c r="D52" i="33"/>
  <c r="C51" i="33"/>
  <c r="C52" i="33" s="1"/>
  <c r="B50" i="33"/>
  <c r="B47" i="33"/>
  <c r="F47" i="33"/>
  <c r="B46" i="33"/>
  <c r="B45" i="33"/>
  <c r="F46" i="33"/>
  <c r="E45" i="33"/>
  <c r="E46" i="33" s="1"/>
  <c r="E47" i="33" s="1"/>
  <c r="D45" i="33"/>
  <c r="D46" i="33"/>
  <c r="D47" i="33" s="1"/>
  <c r="D48" i="33" s="1"/>
  <c r="D49" i="33" s="1"/>
  <c r="C45" i="33"/>
  <c r="C46" i="33"/>
  <c r="C47" i="33"/>
  <c r="C48" i="33" s="1"/>
  <c r="C49" i="33" s="1"/>
  <c r="B44" i="33"/>
  <c r="B43" i="33"/>
  <c r="F43" i="33"/>
  <c r="B42" i="33"/>
  <c r="E42" i="33"/>
  <c r="E43" i="33"/>
  <c r="B37" i="33"/>
  <c r="E37" i="33"/>
  <c r="B41" i="33"/>
  <c r="F41" i="33"/>
  <c r="B39" i="33"/>
  <c r="F39" i="33"/>
  <c r="B38" i="33"/>
  <c r="F38" i="33"/>
  <c r="E38" i="33"/>
  <c r="E39" i="33"/>
  <c r="E41" i="33"/>
  <c r="B36" i="33"/>
  <c r="F36" i="33"/>
  <c r="B35" i="33"/>
  <c r="E35" i="33"/>
  <c r="E36" i="33"/>
  <c r="D35" i="33"/>
  <c r="D36" i="33"/>
  <c r="C35" i="33"/>
  <c r="C36" i="33"/>
  <c r="B34" i="33"/>
  <c r="B32" i="33"/>
  <c r="F32" i="33"/>
  <c r="B31" i="33"/>
  <c r="F31" i="33"/>
  <c r="B30" i="33"/>
  <c r="E30" i="33"/>
  <c r="E31" i="33"/>
  <c r="E32" i="33" s="1"/>
  <c r="B29" i="33"/>
  <c r="F29" i="33"/>
  <c r="B28" i="33"/>
  <c r="E28" i="33"/>
  <c r="E29" i="33"/>
  <c r="D26" i="33"/>
  <c r="D27" i="33"/>
  <c r="D28" i="33" s="1"/>
  <c r="D29" i="33"/>
  <c r="D30" i="33"/>
  <c r="D31" i="33" s="1"/>
  <c r="D32" i="33" s="1"/>
  <c r="D33" i="33" s="1"/>
  <c r="F27" i="33"/>
  <c r="E26" i="33"/>
  <c r="E27" i="33" s="1"/>
  <c r="B25" i="33"/>
  <c r="B27" i="33"/>
  <c r="B26" i="33"/>
  <c r="D24" i="33"/>
  <c r="C24" i="33"/>
  <c r="C26" i="33"/>
  <c r="C27" i="33"/>
  <c r="C28" i="33" s="1"/>
  <c r="C29" i="33" s="1"/>
  <c r="C30" i="33" s="1"/>
  <c r="C31" i="33" s="1"/>
  <c r="C32" i="33" s="1"/>
  <c r="C33" i="33" s="1"/>
  <c r="F24" i="33"/>
  <c r="B24" i="33"/>
  <c r="E23" i="33"/>
  <c r="E24" i="33"/>
  <c r="B23" i="33"/>
  <c r="B22" i="33"/>
  <c r="G33" i="17"/>
  <c r="C33" i="17"/>
  <c r="G34" i="17"/>
  <c r="C34" i="17"/>
  <c r="G36" i="17"/>
  <c r="C36" i="17"/>
  <c r="G41" i="17"/>
  <c r="C41" i="17"/>
  <c r="G45" i="17"/>
  <c r="C45" i="17"/>
  <c r="G52" i="17"/>
  <c r="C52" i="17"/>
  <c r="G59" i="17"/>
  <c r="C59" i="17"/>
  <c r="G60" i="17"/>
  <c r="C60" i="17"/>
  <c r="G69" i="17"/>
  <c r="C69" i="17"/>
  <c r="G71" i="17"/>
  <c r="C71" i="17"/>
  <c r="G72" i="17"/>
  <c r="C72" i="17"/>
  <c r="G74" i="17"/>
  <c r="C74" i="17"/>
  <c r="G76" i="17"/>
  <c r="C76" i="17"/>
  <c r="G79" i="17"/>
  <c r="C79" i="17"/>
  <c r="G82" i="17"/>
  <c r="C82" i="17"/>
  <c r="G84" i="17"/>
  <c r="C84" i="17"/>
  <c r="G88" i="17"/>
  <c r="C88" i="17"/>
  <c r="G90" i="17"/>
  <c r="C90" i="17"/>
  <c r="G98" i="17"/>
  <c r="C98" i="17"/>
  <c r="G100" i="17"/>
  <c r="C100" i="17"/>
  <c r="G104" i="17"/>
  <c r="C104" i="17"/>
  <c r="G107" i="17"/>
  <c r="C107" i="17"/>
  <c r="G111" i="17"/>
  <c r="C111" i="17"/>
  <c r="G114" i="17"/>
  <c r="C114" i="17"/>
  <c r="G116" i="17"/>
  <c r="C116" i="17"/>
  <c r="G118" i="17"/>
  <c r="C118" i="17"/>
  <c r="G120" i="17"/>
  <c r="C120" i="17"/>
  <c r="G124" i="17"/>
  <c r="C124" i="17"/>
  <c r="G126" i="17"/>
  <c r="C126" i="17"/>
  <c r="G129" i="17"/>
  <c r="C129" i="17"/>
  <c r="G131" i="17"/>
  <c r="C131" i="17"/>
  <c r="G133" i="17"/>
  <c r="C133" i="17"/>
  <c r="G136" i="17"/>
  <c r="C136" i="17"/>
  <c r="G138" i="17"/>
  <c r="C138" i="17"/>
  <c r="G144" i="17"/>
  <c r="G151" i="17"/>
  <c r="G153" i="17"/>
  <c r="C153" i="17"/>
  <c r="G158" i="17"/>
  <c r="C158" i="17"/>
  <c r="G160" i="17"/>
  <c r="C160" i="17"/>
  <c r="G164" i="17"/>
  <c r="C164" i="17"/>
  <c r="G167" i="17"/>
  <c r="C167" i="17"/>
  <c r="G173" i="17"/>
  <c r="C173" i="17"/>
  <c r="G176" i="17"/>
  <c r="C176" i="17"/>
  <c r="G177" i="17"/>
  <c r="C177" i="17"/>
  <c r="G179" i="17"/>
  <c r="F179" i="17"/>
  <c r="C179" i="17"/>
  <c r="F181" i="17"/>
  <c r="G181" i="17"/>
  <c r="C181" i="17"/>
  <c r="G185" i="17"/>
  <c r="C185" i="17"/>
  <c r="C189" i="17"/>
  <c r="G189" i="17"/>
  <c r="F80" i="21"/>
  <c r="F79" i="21"/>
  <c r="C71" i="11"/>
  <c r="B53" i="31"/>
  <c r="B52" i="31"/>
  <c r="A483" i="21"/>
  <c r="B51" i="31"/>
  <c r="C16" i="31"/>
  <c r="B16" i="31"/>
  <c r="C46" i="31"/>
  <c r="B46" i="31"/>
  <c r="C45" i="31"/>
  <c r="B45" i="31"/>
  <c r="C44" i="31"/>
  <c r="B44" i="31"/>
  <c r="B43" i="31"/>
  <c r="C42" i="31"/>
  <c r="C41" i="31"/>
  <c r="B41" i="31"/>
  <c r="C40" i="31"/>
  <c r="B40" i="31"/>
  <c r="B39" i="31"/>
  <c r="C38" i="31"/>
  <c r="C37" i="31"/>
  <c r="B37" i="31"/>
  <c r="C36" i="31"/>
  <c r="B36" i="31"/>
  <c r="C35" i="31"/>
  <c r="B35" i="31"/>
  <c r="C34" i="31"/>
  <c r="B34" i="31"/>
  <c r="C33" i="31"/>
  <c r="B33" i="31"/>
  <c r="C29" i="31"/>
  <c r="B29" i="31"/>
  <c r="C31" i="31"/>
  <c r="B31" i="31"/>
  <c r="C30" i="31"/>
  <c r="B30" i="31"/>
  <c r="C28" i="31"/>
  <c r="C27" i="31"/>
  <c r="B27" i="31"/>
  <c r="B48" i="31"/>
  <c r="A455" i="21" s="1"/>
  <c r="C24" i="31"/>
  <c r="B24" i="31"/>
  <c r="B49" i="31"/>
  <c r="C22" i="31"/>
  <c r="B22" i="31"/>
  <c r="B21" i="31"/>
  <c r="B19" i="31"/>
  <c r="C18" i="31"/>
  <c r="B18" i="31"/>
  <c r="C17" i="31"/>
  <c r="B17" i="31"/>
  <c r="C15" i="31"/>
  <c r="B15" i="31"/>
  <c r="C14" i="31"/>
  <c r="B14" i="31"/>
  <c r="C13" i="31"/>
  <c r="B13" i="31"/>
  <c r="C11" i="31"/>
  <c r="B11" i="31"/>
  <c r="C12" i="31"/>
  <c r="B10" i="31"/>
  <c r="B9" i="31"/>
  <c r="B12" i="31"/>
  <c r="C10" i="31"/>
  <c r="C9" i="31"/>
  <c r="C8" i="31"/>
  <c r="D11" i="31"/>
  <c r="F11" i="31"/>
  <c r="F10" i="31"/>
  <c r="F53" i="31"/>
  <c r="F52" i="31" s="1"/>
  <c r="D53" i="31"/>
  <c r="F51" i="31"/>
  <c r="D51" i="31"/>
  <c r="F49" i="31"/>
  <c r="F48" i="31"/>
  <c r="F35" i="31"/>
  <c r="F33" i="31"/>
  <c r="F32" i="31"/>
  <c r="D33" i="31"/>
  <c r="F31" i="31"/>
  <c r="F30" i="31"/>
  <c r="F28" i="31"/>
  <c r="F27" i="31"/>
  <c r="D27" i="31"/>
  <c r="F24" i="31"/>
  <c r="D24" i="31"/>
  <c r="F22" i="31"/>
  <c r="D22" i="31"/>
  <c r="F21" i="31"/>
  <c r="F19" i="31"/>
  <c r="D19" i="31"/>
  <c r="F18" i="31"/>
  <c r="F17" i="31" s="1"/>
  <c r="F9" i="31"/>
  <c r="D9" i="31"/>
  <c r="F8" i="31"/>
  <c r="D8" i="31"/>
  <c r="B154" i="29"/>
  <c r="B152" i="29"/>
  <c r="B149" i="29"/>
  <c r="E177" i="17"/>
  <c r="D177" i="17"/>
  <c r="H24" i="29"/>
  <c r="H23" i="29"/>
  <c r="I24" i="29"/>
  <c r="I23" i="29"/>
  <c r="D25" i="29"/>
  <c r="C25" i="29"/>
  <c r="B25" i="29"/>
  <c r="F36" i="17"/>
  <c r="F25" i="32" s="1"/>
  <c r="F31" i="17"/>
  <c r="F180" i="17"/>
  <c r="F178" i="17"/>
  <c r="F176" i="17"/>
  <c r="F175" i="17"/>
  <c r="F76" i="17"/>
  <c r="F75" i="17"/>
  <c r="C75" i="17"/>
  <c r="F27" i="22"/>
  <c r="G27" i="22"/>
  <c r="H27" i="22"/>
  <c r="E27" i="22"/>
  <c r="C30" i="17"/>
  <c r="C35" i="17"/>
  <c r="C24" i="32" s="1"/>
  <c r="F35" i="17"/>
  <c r="F24" i="32"/>
  <c r="F34" i="17"/>
  <c r="F23" i="32" s="1"/>
  <c r="F33" i="17"/>
  <c r="F22" i="32"/>
  <c r="F32" i="17"/>
  <c r="F21" i="32" s="1"/>
  <c r="C32" i="17"/>
  <c r="C21" i="32"/>
  <c r="J28" i="21"/>
  <c r="J27" i="21" s="1"/>
  <c r="J26" i="21" s="1"/>
  <c r="K28" i="21"/>
  <c r="K27" i="21"/>
  <c r="K26" i="21" s="1"/>
  <c r="L28" i="21"/>
  <c r="L27" i="21" s="1"/>
  <c r="L26" i="21"/>
  <c r="I28" i="21"/>
  <c r="H29" i="21"/>
  <c r="K13" i="21"/>
  <c r="K12" i="21"/>
  <c r="K11" i="21" s="1"/>
  <c r="L13" i="21"/>
  <c r="L12" i="21" s="1"/>
  <c r="I13" i="21"/>
  <c r="I12" i="21"/>
  <c r="J13" i="21"/>
  <c r="J18" i="21"/>
  <c r="J17" i="21" s="1"/>
  <c r="K18" i="21"/>
  <c r="K17" i="21" s="1"/>
  <c r="K16" i="21"/>
  <c r="K15" i="21" s="1"/>
  <c r="L18" i="21"/>
  <c r="L17" i="21" s="1"/>
  <c r="L16" i="21"/>
  <c r="L15" i="21" s="1"/>
  <c r="I18" i="21"/>
  <c r="I17" i="21" s="1"/>
  <c r="H20" i="21"/>
  <c r="H21" i="21"/>
  <c r="H22" i="21"/>
  <c r="H19" i="21"/>
  <c r="H25" i="21"/>
  <c r="F224" i="32"/>
  <c r="G35" i="22"/>
  <c r="D29" i="22"/>
  <c r="E30" i="11" s="1"/>
  <c r="D36" i="22"/>
  <c r="E37" i="11" s="1"/>
  <c r="E36" i="11" s="1"/>
  <c r="H35" i="22"/>
  <c r="F35" i="22"/>
  <c r="D35" i="22" s="1"/>
  <c r="E35" i="22"/>
  <c r="H98" i="21"/>
  <c r="H97" i="21"/>
  <c r="L96" i="21"/>
  <c r="K96" i="21"/>
  <c r="J96" i="21"/>
  <c r="I96" i="21"/>
  <c r="I378" i="21"/>
  <c r="J378" i="21"/>
  <c r="K378" i="21"/>
  <c r="J348" i="21"/>
  <c r="J343" i="21"/>
  <c r="L416" i="21"/>
  <c r="L415" i="21" s="1"/>
  <c r="J416" i="21"/>
  <c r="J374" i="21"/>
  <c r="J270" i="21"/>
  <c r="I216" i="21"/>
  <c r="I215" i="21" s="1"/>
  <c r="E97" i="22"/>
  <c r="H522" i="21"/>
  <c r="H521" i="21"/>
  <c r="D521" i="21"/>
  <c r="D520" i="21" s="1"/>
  <c r="D519" i="21"/>
  <c r="I519" i="21"/>
  <c r="I214" i="32"/>
  <c r="J596" i="21"/>
  <c r="K596" i="21"/>
  <c r="L596" i="21"/>
  <c r="I596" i="21"/>
  <c r="H597" i="21"/>
  <c r="J582" i="21"/>
  <c r="H582" i="21" s="1"/>
  <c r="H581" i="21" s="1"/>
  <c r="G67" i="22"/>
  <c r="H67" i="22"/>
  <c r="I265" i="32"/>
  <c r="I264" i="32"/>
  <c r="I263" i="32"/>
  <c r="I262" i="32"/>
  <c r="I261" i="32"/>
  <c r="F261" i="32"/>
  <c r="I260" i="32"/>
  <c r="F260" i="32"/>
  <c r="I259" i="32"/>
  <c r="I258" i="32"/>
  <c r="F258" i="32"/>
  <c r="I257" i="32"/>
  <c r="F257" i="32"/>
  <c r="I256" i="32"/>
  <c r="I255" i="32"/>
  <c r="I254" i="32"/>
  <c r="I253" i="32"/>
  <c r="I252" i="32"/>
  <c r="I251" i="32"/>
  <c r="I250" i="32"/>
  <c r="I249" i="32"/>
  <c r="I248" i="32"/>
  <c r="I247" i="32"/>
  <c r="D239" i="32"/>
  <c r="D238" i="32"/>
  <c r="C238" i="32"/>
  <c r="C237" i="32"/>
  <c r="M225" i="32"/>
  <c r="L225" i="32"/>
  <c r="K225" i="32"/>
  <c r="J225" i="32"/>
  <c r="J221" i="32"/>
  <c r="M221" i="32"/>
  <c r="L221" i="32"/>
  <c r="K221" i="32"/>
  <c r="C219" i="32"/>
  <c r="G212" i="32"/>
  <c r="C212" i="32"/>
  <c r="M211" i="32"/>
  <c r="M210" i="32"/>
  <c r="M209" i="32" s="1"/>
  <c r="L211" i="32"/>
  <c r="L210" i="32" s="1"/>
  <c r="L209" i="32" s="1"/>
  <c r="K211" i="32"/>
  <c r="K210" i="32" s="1"/>
  <c r="K209" i="32" s="1"/>
  <c r="J211" i="32"/>
  <c r="J210" i="32" s="1"/>
  <c r="J209" i="32" s="1"/>
  <c r="M193" i="32"/>
  <c r="M186" i="32"/>
  <c r="K193" i="32"/>
  <c r="K186" i="32" s="1"/>
  <c r="J193" i="32"/>
  <c r="J186" i="32"/>
  <c r="F192" i="32"/>
  <c r="F191" i="32"/>
  <c r="F190" i="32"/>
  <c r="F189" i="32"/>
  <c r="F188" i="32"/>
  <c r="G185" i="32"/>
  <c r="C185" i="32"/>
  <c r="M184" i="32"/>
  <c r="M183" i="32" s="1"/>
  <c r="M182" i="32" s="1"/>
  <c r="L184" i="32"/>
  <c r="L183" i="32"/>
  <c r="L182" i="32" s="1"/>
  <c r="K184" i="32"/>
  <c r="K183" i="32" s="1"/>
  <c r="K182" i="32" s="1"/>
  <c r="J184" i="32"/>
  <c r="J183" i="32"/>
  <c r="J182" i="32" s="1"/>
  <c r="M178" i="32"/>
  <c r="L178" i="32"/>
  <c r="K178" i="32"/>
  <c r="J178" i="32"/>
  <c r="G177" i="32"/>
  <c r="C177" i="32"/>
  <c r="M176" i="32"/>
  <c r="M171" i="32" s="1"/>
  <c r="L176" i="32"/>
  <c r="L171" i="32" s="1"/>
  <c r="K176" i="32"/>
  <c r="J176" i="32"/>
  <c r="J171" i="32"/>
  <c r="M172" i="32"/>
  <c r="L172" i="32"/>
  <c r="K172" i="32"/>
  <c r="J172" i="32"/>
  <c r="G168" i="32"/>
  <c r="C168" i="32"/>
  <c r="M165" i="32"/>
  <c r="L165" i="32"/>
  <c r="K165" i="32"/>
  <c r="J165" i="32"/>
  <c r="I164" i="32"/>
  <c r="M162" i="32"/>
  <c r="L162" i="32"/>
  <c r="K162" i="32"/>
  <c r="J162" i="32"/>
  <c r="J161" i="32"/>
  <c r="M159" i="32"/>
  <c r="L159" i="32"/>
  <c r="K159" i="32"/>
  <c r="J159" i="32"/>
  <c r="G158" i="32"/>
  <c r="C158" i="32"/>
  <c r="M157" i="32"/>
  <c r="L157" i="32"/>
  <c r="L154" i="32" s="1"/>
  <c r="K157" i="32"/>
  <c r="J157" i="32"/>
  <c r="G156" i="32"/>
  <c r="C156" i="32"/>
  <c r="M155" i="32"/>
  <c r="L155" i="32"/>
  <c r="K155" i="32"/>
  <c r="K154" i="32" s="1"/>
  <c r="J155" i="32"/>
  <c r="J154" i="32" s="1"/>
  <c r="M146" i="32"/>
  <c r="M135" i="32" s="1"/>
  <c r="L146" i="32"/>
  <c r="K146" i="32"/>
  <c r="J146" i="32"/>
  <c r="I146" i="32"/>
  <c r="M144" i="32"/>
  <c r="L144" i="32"/>
  <c r="K144" i="32"/>
  <c r="J144" i="32"/>
  <c r="M141" i="32"/>
  <c r="L141" i="32"/>
  <c r="K141" i="32"/>
  <c r="J141" i="32"/>
  <c r="M139" i="32"/>
  <c r="L139" i="32"/>
  <c r="K139" i="32"/>
  <c r="J139" i="32"/>
  <c r="M136" i="32"/>
  <c r="L136" i="32"/>
  <c r="K136" i="32"/>
  <c r="J136" i="32"/>
  <c r="C136" i="32"/>
  <c r="F121" i="32"/>
  <c r="F113" i="32"/>
  <c r="L102" i="32"/>
  <c r="L99" i="32"/>
  <c r="J102" i="32"/>
  <c r="J99" i="32"/>
  <c r="M102" i="32"/>
  <c r="M99" i="32"/>
  <c r="K102" i="32"/>
  <c r="K99" i="32"/>
  <c r="F97" i="32"/>
  <c r="F93" i="32"/>
  <c r="F91" i="32"/>
  <c r="F89" i="32"/>
  <c r="M86" i="32"/>
  <c r="L86" i="32"/>
  <c r="K86" i="32"/>
  <c r="J86" i="32"/>
  <c r="I86" i="32"/>
  <c r="M84" i="32"/>
  <c r="L84" i="32"/>
  <c r="K84" i="32"/>
  <c r="J84" i="32"/>
  <c r="M82" i="32"/>
  <c r="L82" i="32"/>
  <c r="L81" i="32"/>
  <c r="K82" i="32"/>
  <c r="J82" i="32"/>
  <c r="F82" i="32"/>
  <c r="M77" i="32"/>
  <c r="L77" i="32"/>
  <c r="K77" i="32"/>
  <c r="J77" i="32"/>
  <c r="J68" i="32" s="1"/>
  <c r="F73" i="32"/>
  <c r="D73" i="32"/>
  <c r="M71" i="32"/>
  <c r="M68" i="32"/>
  <c r="L71" i="32"/>
  <c r="L68" i="32"/>
  <c r="K71" i="32"/>
  <c r="K68" i="32"/>
  <c r="J71" i="32"/>
  <c r="F56" i="32"/>
  <c r="F55" i="32"/>
  <c r="M43" i="32"/>
  <c r="L43" i="32"/>
  <c r="K43" i="32"/>
  <c r="J43" i="32"/>
  <c r="M41" i="32"/>
  <c r="M40" i="32"/>
  <c r="M39" i="32" s="1"/>
  <c r="L41" i="32"/>
  <c r="L40" i="32" s="1"/>
  <c r="L39" i="32" s="1"/>
  <c r="K41" i="32"/>
  <c r="J41" i="32"/>
  <c r="M32" i="32"/>
  <c r="M31" i="32" s="1"/>
  <c r="L32" i="32"/>
  <c r="L31" i="32"/>
  <c r="K32" i="32"/>
  <c r="K31" i="32" s="1"/>
  <c r="J32" i="32"/>
  <c r="J31" i="32"/>
  <c r="B2" i="32"/>
  <c r="C5" i="24"/>
  <c r="C4" i="24"/>
  <c r="L511" i="21"/>
  <c r="I203" i="21"/>
  <c r="I202" i="21" s="1"/>
  <c r="I201" i="21" s="1"/>
  <c r="B183" i="30"/>
  <c r="B182" i="30"/>
  <c r="B181" i="30"/>
  <c r="F175" i="30"/>
  <c r="B175" i="30"/>
  <c r="F171" i="30"/>
  <c r="B171" i="30"/>
  <c r="F170" i="30"/>
  <c r="B170" i="30"/>
  <c r="F169" i="30"/>
  <c r="B169" i="30"/>
  <c r="E168" i="30"/>
  <c r="I164" i="30"/>
  <c r="I163" i="30"/>
  <c r="I162" i="30" s="1"/>
  <c r="I161" i="30" s="1"/>
  <c r="K160" i="30"/>
  <c r="K159" i="30"/>
  <c r="J160" i="30"/>
  <c r="J159" i="30" s="1"/>
  <c r="K158" i="30"/>
  <c r="J158" i="30"/>
  <c r="J157" i="30" s="1"/>
  <c r="K157" i="30"/>
  <c r="K156" i="30"/>
  <c r="K155" i="30"/>
  <c r="J156" i="30"/>
  <c r="J155" i="30"/>
  <c r="K152" i="30"/>
  <c r="J152" i="30"/>
  <c r="B152" i="30"/>
  <c r="K151" i="30"/>
  <c r="J151" i="30"/>
  <c r="F149" i="30"/>
  <c r="B149" i="30"/>
  <c r="E148" i="30"/>
  <c r="F147" i="30"/>
  <c r="B147" i="30"/>
  <c r="F143" i="30"/>
  <c r="B143" i="30"/>
  <c r="F141" i="30"/>
  <c r="B141" i="30"/>
  <c r="F138" i="30"/>
  <c r="B138" i="30"/>
  <c r="F136" i="30"/>
  <c r="B136" i="30"/>
  <c r="F133" i="30"/>
  <c r="E133" i="30"/>
  <c r="E132" i="30" s="1"/>
  <c r="B133" i="30"/>
  <c r="F131" i="30"/>
  <c r="E131" i="30"/>
  <c r="E130" i="30" s="1"/>
  <c r="B131" i="30"/>
  <c r="E129" i="30"/>
  <c r="F126" i="30"/>
  <c r="B126" i="30"/>
  <c r="F122" i="30"/>
  <c r="B122" i="30"/>
  <c r="F120" i="30"/>
  <c r="B120" i="30"/>
  <c r="F118" i="30"/>
  <c r="B118" i="30"/>
  <c r="F115" i="30"/>
  <c r="B115" i="30"/>
  <c r="E114" i="30"/>
  <c r="F113" i="30"/>
  <c r="B113" i="30"/>
  <c r="E112" i="30"/>
  <c r="F111" i="30"/>
  <c r="B111" i="30"/>
  <c r="F109" i="30"/>
  <c r="B109" i="30"/>
  <c r="F106" i="30"/>
  <c r="B106" i="30"/>
  <c r="F104" i="30"/>
  <c r="B104" i="30"/>
  <c r="F102" i="30"/>
  <c r="B102" i="30"/>
  <c r="F99" i="30"/>
  <c r="B99" i="30"/>
  <c r="F97" i="30"/>
  <c r="B97" i="30"/>
  <c r="F95" i="30"/>
  <c r="B95" i="30"/>
  <c r="F93" i="30"/>
  <c r="B93" i="30"/>
  <c r="B92" i="30"/>
  <c r="F88" i="30"/>
  <c r="B88" i="30"/>
  <c r="I85" i="30"/>
  <c r="I84" i="30"/>
  <c r="I83" i="30" s="1"/>
  <c r="F78" i="30"/>
  <c r="B78" i="30"/>
  <c r="E77" i="30"/>
  <c r="F76" i="30"/>
  <c r="B76" i="30"/>
  <c r="E75" i="30"/>
  <c r="F74" i="30"/>
  <c r="B74" i="30"/>
  <c r="E73" i="30"/>
  <c r="F69" i="30"/>
  <c r="B69" i="30"/>
  <c r="E68" i="30"/>
  <c r="F67" i="30"/>
  <c r="E67" i="30"/>
  <c r="B67" i="30"/>
  <c r="E66" i="30"/>
  <c r="B66" i="30"/>
  <c r="F65" i="30"/>
  <c r="E65" i="30"/>
  <c r="B65" i="30"/>
  <c r="E64" i="30"/>
  <c r="D64" i="30"/>
  <c r="C64" i="30"/>
  <c r="B64" i="30"/>
  <c r="F63" i="30"/>
  <c r="B63" i="30"/>
  <c r="E62" i="30"/>
  <c r="F61" i="30"/>
  <c r="B61" i="30"/>
  <c r="E60" i="30"/>
  <c r="F59" i="30"/>
  <c r="B59" i="30"/>
  <c r="E58" i="30"/>
  <c r="F55" i="30"/>
  <c r="B55" i="30"/>
  <c r="E54" i="30"/>
  <c r="K48" i="30"/>
  <c r="J48" i="30"/>
  <c r="F47" i="30"/>
  <c r="E47" i="30"/>
  <c r="B47" i="30"/>
  <c r="F46" i="30"/>
  <c r="E46" i="30"/>
  <c r="D46" i="30"/>
  <c r="B46" i="30"/>
  <c r="F45" i="30"/>
  <c r="E45" i="30"/>
  <c r="D45" i="30"/>
  <c r="B45" i="30"/>
  <c r="F43" i="30"/>
  <c r="B43" i="30"/>
  <c r="F40" i="30"/>
  <c r="B40" i="30"/>
  <c r="F34" i="30"/>
  <c r="E34" i="30"/>
  <c r="B34" i="30"/>
  <c r="F33" i="30"/>
  <c r="E33" i="30"/>
  <c r="B33" i="30"/>
  <c r="B31" i="30"/>
  <c r="F29" i="30"/>
  <c r="B29" i="30"/>
  <c r="B25" i="30"/>
  <c r="B21" i="30"/>
  <c r="B17" i="30"/>
  <c r="B16" i="30"/>
  <c r="B15" i="30"/>
  <c r="B14" i="30"/>
  <c r="K12" i="30"/>
  <c r="J12" i="30"/>
  <c r="B171" i="29"/>
  <c r="B169" i="29"/>
  <c r="B168" i="29"/>
  <c r="B19" i="29"/>
  <c r="B18" i="29"/>
  <c r="B17" i="29"/>
  <c r="B16" i="29"/>
  <c r="B26" i="29"/>
  <c r="B146" i="29"/>
  <c r="L581" i="21"/>
  <c r="L580" i="21" s="1"/>
  <c r="K581" i="21"/>
  <c r="K580" i="21" s="1"/>
  <c r="K579" i="21" s="1"/>
  <c r="K578" i="21" s="1"/>
  <c r="K577" i="21" s="1"/>
  <c r="K576" i="21" s="1"/>
  <c r="K575" i="21" s="1"/>
  <c r="J581" i="21"/>
  <c r="J580" i="21" s="1"/>
  <c r="I581" i="21"/>
  <c r="I580" i="21"/>
  <c r="F112" i="29"/>
  <c r="B112" i="29"/>
  <c r="B89" i="29"/>
  <c r="E66" i="29"/>
  <c r="B66" i="29"/>
  <c r="C64" i="29"/>
  <c r="B64" i="29"/>
  <c r="E47" i="29"/>
  <c r="C172" i="17"/>
  <c r="F144" i="17"/>
  <c r="F143" i="17"/>
  <c r="F142" i="17"/>
  <c r="F141" i="17"/>
  <c r="C122" i="17"/>
  <c r="G122" i="17"/>
  <c r="J172" i="21"/>
  <c r="K172" i="21"/>
  <c r="L172" i="21"/>
  <c r="J177" i="21"/>
  <c r="J176" i="21"/>
  <c r="K177" i="21"/>
  <c r="K176" i="21"/>
  <c r="L177" i="21"/>
  <c r="L176" i="21"/>
  <c r="L175" i="21" s="1"/>
  <c r="H173" i="21"/>
  <c r="H169" i="21"/>
  <c r="F60" i="17"/>
  <c r="F59" i="17"/>
  <c r="I258" i="21"/>
  <c r="I257" i="21"/>
  <c r="I256" i="21" s="1"/>
  <c r="J258" i="21"/>
  <c r="J257" i="21" s="1"/>
  <c r="J256" i="21"/>
  <c r="J255" i="21" s="1"/>
  <c r="K258" i="21"/>
  <c r="K257" i="21" s="1"/>
  <c r="K256" i="21" s="1"/>
  <c r="K255" i="21" s="1"/>
  <c r="H453" i="21"/>
  <c r="L452" i="21"/>
  <c r="L451" i="21" s="1"/>
  <c r="L450" i="21"/>
  <c r="L449" i="21"/>
  <c r="K452" i="21"/>
  <c r="K451" i="21" s="1"/>
  <c r="K450" i="21" s="1"/>
  <c r="K449" i="21" s="1"/>
  <c r="J452" i="21"/>
  <c r="J451" i="21" s="1"/>
  <c r="J450" i="21" s="1"/>
  <c r="H244" i="21"/>
  <c r="K243" i="21"/>
  <c r="J243" i="21"/>
  <c r="J242" i="21" s="1"/>
  <c r="L224" i="21"/>
  <c r="L223" i="21"/>
  <c r="L222" i="21" s="1"/>
  <c r="L221" i="21" s="1"/>
  <c r="L220" i="21" s="1"/>
  <c r="H410" i="21"/>
  <c r="L409" i="21"/>
  <c r="L408" i="21" s="1"/>
  <c r="L407" i="21" s="1"/>
  <c r="L406" i="21" s="1"/>
  <c r="J409" i="21"/>
  <c r="J408" i="21" s="1"/>
  <c r="J407" i="21" s="1"/>
  <c r="J406" i="21" s="1"/>
  <c r="L423" i="21"/>
  <c r="L422" i="21" s="1"/>
  <c r="L421" i="21" s="1"/>
  <c r="L420" i="21" s="1"/>
  <c r="K423" i="21"/>
  <c r="K422" i="21" s="1"/>
  <c r="K421" i="21" s="1"/>
  <c r="K420" i="21" s="1"/>
  <c r="H416" i="21"/>
  <c r="K415" i="21"/>
  <c r="J415" i="21"/>
  <c r="K418" i="21"/>
  <c r="J418" i="21"/>
  <c r="J397" i="21"/>
  <c r="J396" i="21"/>
  <c r="H388" i="21"/>
  <c r="L387" i="21"/>
  <c r="L386" i="21" s="1"/>
  <c r="L385" i="21" s="1"/>
  <c r="L384" i="21" s="1"/>
  <c r="L383" i="21" s="1"/>
  <c r="K387" i="21"/>
  <c r="K386" i="21"/>
  <c r="K385" i="21" s="1"/>
  <c r="K384" i="21" s="1"/>
  <c r="J387" i="21"/>
  <c r="J386" i="21" s="1"/>
  <c r="K373" i="21"/>
  <c r="K372" i="21" s="1"/>
  <c r="K371" i="21" s="1"/>
  <c r="H368" i="21"/>
  <c r="K367" i="21"/>
  <c r="J367" i="21"/>
  <c r="K369" i="21"/>
  <c r="J369" i="21"/>
  <c r="L361" i="21"/>
  <c r="K361" i="21"/>
  <c r="J361" i="21"/>
  <c r="J357" i="21" s="1"/>
  <c r="H362" i="21"/>
  <c r="H349" i="21"/>
  <c r="L347" i="21"/>
  <c r="K347" i="21"/>
  <c r="L353" i="21"/>
  <c r="H353" i="21" s="1"/>
  <c r="K353" i="21"/>
  <c r="J353" i="21"/>
  <c r="H354" i="21"/>
  <c r="J342" i="21"/>
  <c r="H343" i="21"/>
  <c r="K342" i="21"/>
  <c r="K341" i="21" s="1"/>
  <c r="K332" i="21"/>
  <c r="K331" i="21"/>
  <c r="K330" i="21" s="1"/>
  <c r="K329" i="21" s="1"/>
  <c r="H333" i="21"/>
  <c r="H498" i="21"/>
  <c r="K497" i="21"/>
  <c r="L497" i="21"/>
  <c r="L184" i="21"/>
  <c r="I447" i="21"/>
  <c r="I446" i="21" s="1"/>
  <c r="K447" i="21"/>
  <c r="K446" i="21"/>
  <c r="K445" i="21"/>
  <c r="K444" i="21" s="1"/>
  <c r="J447" i="21"/>
  <c r="J446" i="21"/>
  <c r="L447" i="21"/>
  <c r="L446" i="21" s="1"/>
  <c r="L445" i="21" s="1"/>
  <c r="L444" i="21" s="1"/>
  <c r="L443" i="21" s="1"/>
  <c r="L442" i="21"/>
  <c r="L441" i="21" s="1"/>
  <c r="I397" i="21"/>
  <c r="I396" i="21" s="1"/>
  <c r="L398" i="21"/>
  <c r="L397" i="21" s="1"/>
  <c r="H319" i="21"/>
  <c r="H318" i="21"/>
  <c r="H317" i="21" s="1"/>
  <c r="I129" i="32" s="1"/>
  <c r="I128" i="32" s="1"/>
  <c r="I127" i="32"/>
  <c r="L318" i="21"/>
  <c r="L317" i="21" s="1"/>
  <c r="L316" i="21" s="1"/>
  <c r="L315" i="21" s="1"/>
  <c r="K318" i="21"/>
  <c r="K317" i="21"/>
  <c r="K316" i="21" s="1"/>
  <c r="K315" i="21" s="1"/>
  <c r="J318" i="21"/>
  <c r="J317" i="21"/>
  <c r="J316" i="21" s="1"/>
  <c r="I318" i="21"/>
  <c r="I317" i="21" s="1"/>
  <c r="I316" i="21" s="1"/>
  <c r="I587" i="21"/>
  <c r="J587" i="21"/>
  <c r="K587" i="21"/>
  <c r="L587" i="21"/>
  <c r="H588" i="21"/>
  <c r="H587" i="21"/>
  <c r="D27" i="28"/>
  <c r="D24" i="28"/>
  <c r="D23" i="28"/>
  <c r="C24" i="24"/>
  <c r="I472" i="21"/>
  <c r="J472" i="21"/>
  <c r="K472" i="21"/>
  <c r="L472" i="21"/>
  <c r="L468" i="21" s="1"/>
  <c r="L467" i="21" s="1"/>
  <c r="L466" i="21" s="1"/>
  <c r="H473" i="21"/>
  <c r="H472" i="21" s="1"/>
  <c r="C23" i="24"/>
  <c r="C22" i="24"/>
  <c r="C21" i="24"/>
  <c r="C20" i="24"/>
  <c r="F190" i="24"/>
  <c r="F130" i="17"/>
  <c r="H405" i="21"/>
  <c r="H404" i="21" s="1"/>
  <c r="H403" i="21" s="1"/>
  <c r="L404" i="21"/>
  <c r="L403" i="21"/>
  <c r="L402" i="21" s="1"/>
  <c r="L401" i="21" s="1"/>
  <c r="K404" i="21"/>
  <c r="K403" i="21"/>
  <c r="K402" i="21" s="1"/>
  <c r="J403" i="21"/>
  <c r="J402" i="21" s="1"/>
  <c r="J401" i="21" s="1"/>
  <c r="I404" i="21"/>
  <c r="I403" i="21"/>
  <c r="I402" i="21" s="1"/>
  <c r="D404" i="21"/>
  <c r="D403" i="21" s="1"/>
  <c r="H379" i="21"/>
  <c r="F230" i="24"/>
  <c r="I423" i="21"/>
  <c r="I422" i="21" s="1"/>
  <c r="I421" i="21" s="1"/>
  <c r="J423" i="21"/>
  <c r="J422" i="21"/>
  <c r="J421" i="21" s="1"/>
  <c r="H424" i="21"/>
  <c r="H423" i="21" s="1"/>
  <c r="H422" i="21" s="1"/>
  <c r="D423" i="21"/>
  <c r="D422" i="21"/>
  <c r="J393" i="21"/>
  <c r="H393" i="21" s="1"/>
  <c r="H392" i="21" s="1"/>
  <c r="D428" i="21"/>
  <c r="D427" i="21" s="1"/>
  <c r="F192" i="24"/>
  <c r="F132" i="17"/>
  <c r="D409" i="21"/>
  <c r="D408" i="21" s="1"/>
  <c r="D381" i="21"/>
  <c r="D380" i="21" s="1"/>
  <c r="D373" i="21"/>
  <c r="D372" i="21"/>
  <c r="D371" i="21" s="1"/>
  <c r="F137" i="24"/>
  <c r="D289" i="21"/>
  <c r="F135" i="24"/>
  <c r="F97" i="17"/>
  <c r="F143" i="24"/>
  <c r="F99" i="17"/>
  <c r="D305" i="21"/>
  <c r="D304" i="21" s="1"/>
  <c r="D503" i="21"/>
  <c r="D502" i="21"/>
  <c r="F120" i="24"/>
  <c r="F89" i="17"/>
  <c r="D270" i="21"/>
  <c r="D269" i="21"/>
  <c r="D268" i="21"/>
  <c r="F222" i="24"/>
  <c r="D497" i="21"/>
  <c r="D496" i="21"/>
  <c r="D495" i="21"/>
  <c r="D494" i="21" s="1"/>
  <c r="D493" i="21" s="1"/>
  <c r="F206" i="32" s="1"/>
  <c r="F258" i="24"/>
  <c r="F114" i="24"/>
  <c r="F118" i="24"/>
  <c r="F87" i="17"/>
  <c r="D253" i="21"/>
  <c r="D252" i="21" s="1"/>
  <c r="F83" i="17"/>
  <c r="D243" i="21"/>
  <c r="D242" i="21"/>
  <c r="F101" i="24"/>
  <c r="F81" i="17"/>
  <c r="C19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L400" i="21"/>
  <c r="L399" i="21"/>
  <c r="L396" i="21" s="1"/>
  <c r="L395" i="21" s="1"/>
  <c r="L394" i="21" s="1"/>
  <c r="K400" i="21"/>
  <c r="K399" i="21"/>
  <c r="J400" i="21"/>
  <c r="J399" i="21"/>
  <c r="L482" i="21"/>
  <c r="H482" i="21"/>
  <c r="H481" i="21" s="1"/>
  <c r="K481" i="21"/>
  <c r="J481" i="21"/>
  <c r="I481" i="21"/>
  <c r="K478" i="21"/>
  <c r="K477" i="21"/>
  <c r="K476" i="21" s="1"/>
  <c r="K475" i="21"/>
  <c r="K474" i="21" s="1"/>
  <c r="L478" i="21"/>
  <c r="L477" i="21" s="1"/>
  <c r="J478" i="21"/>
  <c r="I478" i="21"/>
  <c r="I477" i="21"/>
  <c r="I476" i="21" s="1"/>
  <c r="I475" i="21" s="1"/>
  <c r="I474" i="21" s="1"/>
  <c r="I347" i="21"/>
  <c r="I332" i="21"/>
  <c r="I331" i="21"/>
  <c r="I330" i="21" s="1"/>
  <c r="I329" i="21" s="1"/>
  <c r="L332" i="21"/>
  <c r="L331" i="21" s="1"/>
  <c r="L330" i="21" s="1"/>
  <c r="J203" i="21"/>
  <c r="J202" i="21"/>
  <c r="J201" i="21" s="1"/>
  <c r="K203" i="21"/>
  <c r="K202" i="21"/>
  <c r="L203" i="21"/>
  <c r="L202" i="21" s="1"/>
  <c r="L201" i="21" s="1"/>
  <c r="J268" i="21"/>
  <c r="J267" i="21"/>
  <c r="I392" i="21"/>
  <c r="L238" i="21"/>
  <c r="L237" i="21"/>
  <c r="L236" i="21"/>
  <c r="L232" i="21" s="1"/>
  <c r="K238" i="21"/>
  <c r="K237" i="21"/>
  <c r="K236" i="21"/>
  <c r="K232" i="21" s="1"/>
  <c r="J232" i="21"/>
  <c r="I238" i="21"/>
  <c r="I237" i="21"/>
  <c r="I236" i="21" s="1"/>
  <c r="H236" i="21" s="1"/>
  <c r="H270" i="21"/>
  <c r="L502" i="21"/>
  <c r="L501" i="21"/>
  <c r="L500" i="21" s="1"/>
  <c r="I502" i="21"/>
  <c r="I501" i="21" s="1"/>
  <c r="H504" i="21"/>
  <c r="K533" i="21"/>
  <c r="K532" i="21" s="1"/>
  <c r="K531" i="21" s="1"/>
  <c r="I533" i="21"/>
  <c r="I532" i="21" s="1"/>
  <c r="L533" i="21"/>
  <c r="L532" i="21"/>
  <c r="L531" i="21" s="1"/>
  <c r="L530" i="21" s="1"/>
  <c r="L529" i="21" s="1"/>
  <c r="J533" i="21"/>
  <c r="J532" i="21" s="1"/>
  <c r="J531" i="21" s="1"/>
  <c r="J530" i="21" s="1"/>
  <c r="H479" i="21"/>
  <c r="H478" i="21" s="1"/>
  <c r="L162" i="21"/>
  <c r="L161" i="21" s="1"/>
  <c r="L160" i="21"/>
  <c r="L159" i="21" s="1"/>
  <c r="L154" i="21"/>
  <c r="L153" i="21" s="1"/>
  <c r="L152" i="21" s="1"/>
  <c r="L151" i="21" s="1"/>
  <c r="H359" i="21"/>
  <c r="I358" i="21"/>
  <c r="L358" i="21"/>
  <c r="L357" i="21" s="1"/>
  <c r="L356" i="21" s="1"/>
  <c r="L355" i="21" s="1"/>
  <c r="L373" i="21"/>
  <c r="L372" i="21" s="1"/>
  <c r="L371" i="21" s="1"/>
  <c r="H515" i="21"/>
  <c r="H514" i="21" s="1"/>
  <c r="I514" i="21"/>
  <c r="J514" i="21"/>
  <c r="K514" i="21"/>
  <c r="L514" i="21"/>
  <c r="L494" i="21"/>
  <c r="L493" i="21"/>
  <c r="L492" i="21"/>
  <c r="L491" i="21" s="1"/>
  <c r="L490" i="21" s="1"/>
  <c r="J594" i="21"/>
  <c r="J593" i="21"/>
  <c r="J592" i="21" s="1"/>
  <c r="K313" i="21"/>
  <c r="K312" i="21"/>
  <c r="K311" i="21"/>
  <c r="K310" i="21" s="1"/>
  <c r="K309" i="21" s="1"/>
  <c r="J141" i="24"/>
  <c r="K141" i="24"/>
  <c r="L141" i="24"/>
  <c r="M141" i="24"/>
  <c r="H216" i="21"/>
  <c r="J215" i="21"/>
  <c r="J214" i="21"/>
  <c r="K215" i="21"/>
  <c r="K214" i="21"/>
  <c r="L215" i="21"/>
  <c r="L214" i="21"/>
  <c r="I214" i="21"/>
  <c r="L378" i="21"/>
  <c r="L377" i="21" s="1"/>
  <c r="H314" i="21"/>
  <c r="I126" i="32" s="1"/>
  <c r="I125" i="32" s="1"/>
  <c r="I124" i="32" s="1"/>
  <c r="L313" i="21"/>
  <c r="L312" i="21"/>
  <c r="L311" i="21" s="1"/>
  <c r="L310" i="21" s="1"/>
  <c r="L309" i="21" s="1"/>
  <c r="J313" i="21"/>
  <c r="J312" i="21" s="1"/>
  <c r="J311" i="21"/>
  <c r="I313" i="21"/>
  <c r="I312" i="21" s="1"/>
  <c r="I311" i="21" s="1"/>
  <c r="I310" i="21" s="1"/>
  <c r="H239" i="21"/>
  <c r="L235" i="21"/>
  <c r="K235" i="21"/>
  <c r="D31" i="22"/>
  <c r="E32" i="11" s="1"/>
  <c r="H186" i="21"/>
  <c r="H179" i="21"/>
  <c r="H164" i="21"/>
  <c r="H156" i="21"/>
  <c r="H595" i="21"/>
  <c r="H594" i="21"/>
  <c r="I263" i="24"/>
  <c r="I262" i="24"/>
  <c r="I261" i="24" s="1"/>
  <c r="I260" i="24"/>
  <c r="I494" i="21"/>
  <c r="H380" i="21"/>
  <c r="H370" i="21"/>
  <c r="J91" i="21"/>
  <c r="J90" i="21" s="1"/>
  <c r="J89" i="21"/>
  <c r="K91" i="21"/>
  <c r="K90" i="21"/>
  <c r="K89" i="21" s="1"/>
  <c r="L91" i="21"/>
  <c r="L90" i="21"/>
  <c r="L89" i="21"/>
  <c r="E24" i="22"/>
  <c r="F24" i="22"/>
  <c r="G24" i="22"/>
  <c r="H24" i="22"/>
  <c r="H23" i="22" s="1"/>
  <c r="F32" i="22"/>
  <c r="G32" i="22"/>
  <c r="H32" i="22"/>
  <c r="E32" i="22"/>
  <c r="D34" i="22"/>
  <c r="E35" i="11"/>
  <c r="D33" i="22"/>
  <c r="E34" i="11"/>
  <c r="D28" i="22"/>
  <c r="E29" i="11"/>
  <c r="D25" i="22"/>
  <c r="E26" i="11" s="1"/>
  <c r="D26" i="22"/>
  <c r="E27" i="11"/>
  <c r="J494" i="21"/>
  <c r="J286" i="21"/>
  <c r="K286" i="21"/>
  <c r="L286" i="21"/>
  <c r="I286" i="21"/>
  <c r="H288" i="21"/>
  <c r="J429" i="21"/>
  <c r="H429" i="21"/>
  <c r="H428" i="21"/>
  <c r="H427" i="21"/>
  <c r="I122" i="30" s="1"/>
  <c r="I417" i="21"/>
  <c r="H417" i="21"/>
  <c r="H556" i="21"/>
  <c r="H555" i="21"/>
  <c r="L554" i="21"/>
  <c r="K554" i="21"/>
  <c r="I554" i="21"/>
  <c r="H554" i="21"/>
  <c r="H541" i="21"/>
  <c r="L540" i="21"/>
  <c r="L539" i="21"/>
  <c r="L538" i="21" s="1"/>
  <c r="L537" i="21"/>
  <c r="K540" i="21"/>
  <c r="K539" i="21" s="1"/>
  <c r="J540" i="21"/>
  <c r="J539" i="21"/>
  <c r="J538" i="21"/>
  <c r="J537" i="21" s="1"/>
  <c r="J248" i="24"/>
  <c r="J247" i="24" s="1"/>
  <c r="J249" i="24"/>
  <c r="J244" i="24"/>
  <c r="J237" i="24" s="1"/>
  <c r="K432" i="21"/>
  <c r="J432" i="21"/>
  <c r="H433" i="21"/>
  <c r="H432" i="21" s="1"/>
  <c r="H431" i="21" s="1"/>
  <c r="H586" i="21"/>
  <c r="L584" i="21"/>
  <c r="L583" i="21"/>
  <c r="K584" i="21"/>
  <c r="K583" i="21" s="1"/>
  <c r="J584" i="21"/>
  <c r="I584" i="21"/>
  <c r="I583" i="21"/>
  <c r="K268" i="21"/>
  <c r="K267" i="21"/>
  <c r="K266" i="21" s="1"/>
  <c r="L439" i="21"/>
  <c r="L438" i="21"/>
  <c r="L437" i="21" s="1"/>
  <c r="L436" i="21" s="1"/>
  <c r="L435" i="21"/>
  <c r="L434" i="21" s="1"/>
  <c r="I497" i="21"/>
  <c r="H497" i="21" s="1"/>
  <c r="J499" i="21"/>
  <c r="J497" i="21"/>
  <c r="K86" i="21"/>
  <c r="K85" i="21"/>
  <c r="K84" i="21" s="1"/>
  <c r="K83" i="21" s="1"/>
  <c r="K82" i="21" s="1"/>
  <c r="B4" i="17"/>
  <c r="B5" i="17"/>
  <c r="C3" i="24"/>
  <c r="I418" i="21"/>
  <c r="L418" i="21"/>
  <c r="L414" i="21" s="1"/>
  <c r="L413" i="21" s="1"/>
  <c r="L412" i="21"/>
  <c r="I399" i="21"/>
  <c r="H400" i="21"/>
  <c r="H399" i="21"/>
  <c r="K392" i="21"/>
  <c r="L392" i="21"/>
  <c r="I369" i="21"/>
  <c r="I361" i="21"/>
  <c r="K358" i="21"/>
  <c r="K357" i="21"/>
  <c r="K356" i="21"/>
  <c r="K355" i="21" s="1"/>
  <c r="J358" i="21"/>
  <c r="I353" i="21"/>
  <c r="I346" i="21"/>
  <c r="H294" i="21"/>
  <c r="H296" i="21"/>
  <c r="H297" i="21"/>
  <c r="E95" i="22"/>
  <c r="I218" i="21"/>
  <c r="H218" i="21"/>
  <c r="I213" i="21"/>
  <c r="I212" i="21"/>
  <c r="I211" i="21" s="1"/>
  <c r="C2" i="24"/>
  <c r="F95" i="22"/>
  <c r="G95" i="22"/>
  <c r="H95" i="22"/>
  <c r="C38" i="28"/>
  <c r="C37" i="28"/>
  <c r="C34" i="28"/>
  <c r="C31" i="28"/>
  <c r="C27" i="28"/>
  <c r="C24" i="28"/>
  <c r="C23" i="28"/>
  <c r="E33" i="27"/>
  <c r="I381" i="21"/>
  <c r="I377" i="21" s="1"/>
  <c r="I376" i="21" s="1"/>
  <c r="J381" i="21"/>
  <c r="J377" i="21"/>
  <c r="J376" i="21" s="1"/>
  <c r="K381" i="21"/>
  <c r="K377" i="21" s="1"/>
  <c r="K376" i="21" s="1"/>
  <c r="K375" i="21" s="1"/>
  <c r="L381" i="21"/>
  <c r="H382" i="21"/>
  <c r="H381" i="21" s="1"/>
  <c r="H32" i="27"/>
  <c r="G32" i="27"/>
  <c r="H19" i="27"/>
  <c r="H17" i="27" s="1"/>
  <c r="H15" i="27"/>
  <c r="G19" i="27"/>
  <c r="G17" i="27"/>
  <c r="G15" i="27" s="1"/>
  <c r="G11" i="27"/>
  <c r="H11" i="27"/>
  <c r="I511" i="21"/>
  <c r="I510" i="21" s="1"/>
  <c r="I509" i="21"/>
  <c r="J511" i="21"/>
  <c r="J510" i="21"/>
  <c r="J509" i="21" s="1"/>
  <c r="J508" i="21" s="1"/>
  <c r="I469" i="21"/>
  <c r="I468" i="21"/>
  <c r="I467" i="21" s="1"/>
  <c r="I466" i="21" s="1"/>
  <c r="J469" i="21"/>
  <c r="J468" i="21" s="1"/>
  <c r="J467" i="21"/>
  <c r="H467" i="21" s="1"/>
  <c r="K469" i="21"/>
  <c r="K468" i="21"/>
  <c r="K467" i="21"/>
  <c r="K466" i="21"/>
  <c r="L469" i="21"/>
  <c r="H471" i="21"/>
  <c r="H513" i="21"/>
  <c r="I367" i="21"/>
  <c r="I75" i="21"/>
  <c r="J75" i="21"/>
  <c r="K75" i="21"/>
  <c r="L75" i="21"/>
  <c r="H76" i="21"/>
  <c r="H75" i="21"/>
  <c r="J212" i="21"/>
  <c r="J211" i="21"/>
  <c r="K212" i="21"/>
  <c r="K211" i="21"/>
  <c r="L212" i="21"/>
  <c r="L211" i="21"/>
  <c r="L217" i="21"/>
  <c r="K217" i="21"/>
  <c r="J217" i="21"/>
  <c r="I243" i="21"/>
  <c r="I242" i="21"/>
  <c r="L243" i="21"/>
  <c r="L242" i="21"/>
  <c r="L241" i="21" s="1"/>
  <c r="L240" i="21"/>
  <c r="J253" i="21"/>
  <c r="J252" i="21"/>
  <c r="J251" i="21" s="1"/>
  <c r="K253" i="21"/>
  <c r="K252" i="21"/>
  <c r="K251" i="21" s="1"/>
  <c r="K250" i="21" s="1"/>
  <c r="L253" i="21"/>
  <c r="L252" i="21"/>
  <c r="L251" i="21"/>
  <c r="L250" i="21" s="1"/>
  <c r="J103" i="24"/>
  <c r="K103" i="24"/>
  <c r="L103" i="24"/>
  <c r="M103" i="24"/>
  <c r="E72" i="22"/>
  <c r="F72" i="22"/>
  <c r="G72" i="22"/>
  <c r="G71" i="22" s="1"/>
  <c r="H72" i="22"/>
  <c r="D75" i="22"/>
  <c r="E76" i="11"/>
  <c r="D76" i="22"/>
  <c r="E77" i="11" s="1"/>
  <c r="D77" i="22"/>
  <c r="E78" i="11"/>
  <c r="D74" i="22"/>
  <c r="E75" i="11" s="1"/>
  <c r="E94" i="22"/>
  <c r="F94" i="22"/>
  <c r="G94" i="22"/>
  <c r="H94" i="22"/>
  <c r="D97" i="22"/>
  <c r="E97" i="11" s="1"/>
  <c r="D96" i="22"/>
  <c r="D100" i="22"/>
  <c r="E100" i="11" s="1"/>
  <c r="D101" i="22"/>
  <c r="E101" i="11" s="1"/>
  <c r="I224" i="21"/>
  <c r="I223" i="21"/>
  <c r="I222" i="21" s="1"/>
  <c r="J224" i="21"/>
  <c r="J223" i="21"/>
  <c r="J222" i="21"/>
  <c r="K224" i="21"/>
  <c r="K223" i="21" s="1"/>
  <c r="K222" i="21" s="1"/>
  <c r="K221" i="21" s="1"/>
  <c r="K220" i="21" s="1"/>
  <c r="L566" i="21"/>
  <c r="L565" i="21"/>
  <c r="L564" i="21"/>
  <c r="L563" i="21"/>
  <c r="L562" i="21" s="1"/>
  <c r="K566" i="21"/>
  <c r="K565" i="21" s="1"/>
  <c r="K564" i="21" s="1"/>
  <c r="K563" i="21" s="1"/>
  <c r="K562" i="21" s="1"/>
  <c r="K535" i="21" s="1"/>
  <c r="J566" i="21"/>
  <c r="I566" i="21"/>
  <c r="I565" i="21" s="1"/>
  <c r="I564" i="21" s="1"/>
  <c r="I563" i="21"/>
  <c r="I562" i="21" s="1"/>
  <c r="I63" i="21"/>
  <c r="I62" i="21" s="1"/>
  <c r="J63" i="21"/>
  <c r="J62" i="21"/>
  <c r="K63" i="21"/>
  <c r="K62" i="21" s="1"/>
  <c r="L63" i="21"/>
  <c r="H65" i="21"/>
  <c r="I86" i="21"/>
  <c r="I85" i="21"/>
  <c r="I84" i="21" s="1"/>
  <c r="I83" i="21" s="1"/>
  <c r="J86" i="21"/>
  <c r="J85" i="21" s="1"/>
  <c r="J84" i="21" s="1"/>
  <c r="J83" i="21" s="1"/>
  <c r="L86" i="21"/>
  <c r="L85" i="21"/>
  <c r="L84" i="21" s="1"/>
  <c r="L83" i="21" s="1"/>
  <c r="L82" i="21"/>
  <c r="H88" i="21"/>
  <c r="I72" i="21"/>
  <c r="J72" i="21"/>
  <c r="J71" i="21"/>
  <c r="J70" i="21" s="1"/>
  <c r="J69" i="21" s="1"/>
  <c r="J68" i="21" s="1"/>
  <c r="K72" i="21"/>
  <c r="L72" i="21"/>
  <c r="L71" i="21"/>
  <c r="L70" i="21" s="1"/>
  <c r="L69" i="21" s="1"/>
  <c r="L68" i="21" s="1"/>
  <c r="H73" i="21"/>
  <c r="H74" i="21"/>
  <c r="H72" i="21" s="1"/>
  <c r="I80" i="21"/>
  <c r="I79" i="21" s="1"/>
  <c r="I78" i="21" s="1"/>
  <c r="J80" i="21"/>
  <c r="J79" i="21"/>
  <c r="J78" i="21" s="1"/>
  <c r="K80" i="21"/>
  <c r="K79" i="21" s="1"/>
  <c r="K78" i="21" s="1"/>
  <c r="K77" i="21" s="1"/>
  <c r="L80" i="21"/>
  <c r="L79" i="21"/>
  <c r="L78" i="21" s="1"/>
  <c r="L77" i="21" s="1"/>
  <c r="I162" i="21"/>
  <c r="I161" i="21" s="1"/>
  <c r="I160" i="21" s="1"/>
  <c r="I159" i="21" s="1"/>
  <c r="K162" i="21"/>
  <c r="K161" i="21"/>
  <c r="K160" i="21" s="1"/>
  <c r="K159" i="21" s="1"/>
  <c r="H163" i="21"/>
  <c r="H178" i="21"/>
  <c r="H180" i="21"/>
  <c r="H182" i="21"/>
  <c r="I184" i="21"/>
  <c r="K184" i="21"/>
  <c r="H185" i="21"/>
  <c r="I154" i="21"/>
  <c r="I153" i="21"/>
  <c r="I152" i="21" s="1"/>
  <c r="K154" i="21"/>
  <c r="K153" i="21" s="1"/>
  <c r="K152" i="21"/>
  <c r="K151" i="21" s="1"/>
  <c r="H155" i="21"/>
  <c r="H154" i="21" s="1"/>
  <c r="H153" i="21"/>
  <c r="I230" i="21"/>
  <c r="I229" i="21" s="1"/>
  <c r="I228" i="21" s="1"/>
  <c r="J230" i="21"/>
  <c r="J229" i="21" s="1"/>
  <c r="J228" i="21" s="1"/>
  <c r="J227" i="21" s="1"/>
  <c r="K230" i="21"/>
  <c r="K229" i="21"/>
  <c r="K228" i="21" s="1"/>
  <c r="L230" i="21"/>
  <c r="L229" i="21" s="1"/>
  <c r="L228" i="21" s="1"/>
  <c r="L227" i="21" s="1"/>
  <c r="H231" i="21"/>
  <c r="H230" i="21"/>
  <c r="H229" i="21" s="1"/>
  <c r="J234" i="21"/>
  <c r="J233" i="21"/>
  <c r="I234" i="21"/>
  <c r="I233" i="21" s="1"/>
  <c r="I284" i="21"/>
  <c r="J284" i="21"/>
  <c r="J283" i="21" s="1"/>
  <c r="J282" i="21" s="1"/>
  <c r="K284" i="21"/>
  <c r="K283" i="21"/>
  <c r="K282" i="21"/>
  <c r="K281" i="21" s="1"/>
  <c r="K280" i="21" s="1"/>
  <c r="K279" i="21" s="1"/>
  <c r="L284" i="21"/>
  <c r="L283" i="21" s="1"/>
  <c r="H285" i="21"/>
  <c r="H284" i="21" s="1"/>
  <c r="H283" i="21" s="1"/>
  <c r="I76" i="30" s="1"/>
  <c r="I75" i="30" s="1"/>
  <c r="I72" i="30" s="1"/>
  <c r="I71" i="30" s="1"/>
  <c r="I70" i="30" s="1"/>
  <c r="H287" i="21"/>
  <c r="H286" i="21" s="1"/>
  <c r="H290" i="21"/>
  <c r="I293" i="21"/>
  <c r="H293" i="21" s="1"/>
  <c r="J293" i="21"/>
  <c r="K293" i="21"/>
  <c r="L293" i="21"/>
  <c r="I295" i="21"/>
  <c r="H295" i="21" s="1"/>
  <c r="J295" i="21"/>
  <c r="K295" i="21"/>
  <c r="L295" i="21"/>
  <c r="I268" i="21"/>
  <c r="I267" i="21" s="1"/>
  <c r="L266" i="21"/>
  <c r="H271" i="21"/>
  <c r="I304" i="21"/>
  <c r="I303" i="21" s="1"/>
  <c r="J304" i="21"/>
  <c r="J303" i="21" s="1"/>
  <c r="L304" i="21"/>
  <c r="L303" i="21"/>
  <c r="I324" i="21"/>
  <c r="I323" i="21"/>
  <c r="I322" i="21" s="1"/>
  <c r="J324" i="21"/>
  <c r="J323" i="21"/>
  <c r="J322" i="21" s="1"/>
  <c r="K324" i="21"/>
  <c r="K323" i="21"/>
  <c r="K322" i="21" s="1"/>
  <c r="K321" i="21" s="1"/>
  <c r="K320" i="21"/>
  <c r="L324" i="21"/>
  <c r="L323" i="21" s="1"/>
  <c r="L322" i="21" s="1"/>
  <c r="L321" i="21"/>
  <c r="L320" i="21"/>
  <c r="L308" i="21" s="1"/>
  <c r="H325" i="21"/>
  <c r="H324" i="21" s="1"/>
  <c r="H323" i="21" s="1"/>
  <c r="I342" i="21"/>
  <c r="L342" i="21"/>
  <c r="L341" i="21"/>
  <c r="L340" i="21" s="1"/>
  <c r="L339" i="21" s="1"/>
  <c r="I351" i="21"/>
  <c r="I350" i="21"/>
  <c r="J351" i="21"/>
  <c r="J350" i="21" s="1"/>
  <c r="K351" i="21"/>
  <c r="K350" i="21"/>
  <c r="L351" i="21"/>
  <c r="L350" i="21" s="1"/>
  <c r="H352" i="21"/>
  <c r="H351" i="21"/>
  <c r="H350" i="21"/>
  <c r="I143" i="32" s="1"/>
  <c r="L367" i="21"/>
  <c r="I373" i="21"/>
  <c r="I372" i="21"/>
  <c r="I371" i="21"/>
  <c r="I387" i="21"/>
  <c r="I409" i="21"/>
  <c r="K409" i="21"/>
  <c r="K408" i="21"/>
  <c r="K407" i="21"/>
  <c r="K406" i="21" s="1"/>
  <c r="I428" i="21"/>
  <c r="I427" i="21"/>
  <c r="I426" i="21"/>
  <c r="J428" i="21"/>
  <c r="J427" i="21" s="1"/>
  <c r="J426" i="21" s="1"/>
  <c r="K428" i="21"/>
  <c r="K427" i="21" s="1"/>
  <c r="K426" i="21"/>
  <c r="K425" i="21"/>
  <c r="L428" i="21"/>
  <c r="L427" i="21" s="1"/>
  <c r="L426" i="21"/>
  <c r="L425" i="21"/>
  <c r="L411" i="21" s="1"/>
  <c r="I432" i="21"/>
  <c r="I431" i="21" s="1"/>
  <c r="I430" i="21" s="1"/>
  <c r="J431" i="21"/>
  <c r="J430" i="21"/>
  <c r="K431" i="21"/>
  <c r="K430" i="21" s="1"/>
  <c r="L432" i="21"/>
  <c r="L431" i="21"/>
  <c r="L430" i="21"/>
  <c r="I438" i="21"/>
  <c r="I437" i="21" s="1"/>
  <c r="I436" i="21" s="1"/>
  <c r="I435" i="21" s="1"/>
  <c r="J438" i="21"/>
  <c r="J437" i="21" s="1"/>
  <c r="J436" i="21" s="1"/>
  <c r="J435" i="21" s="1"/>
  <c r="J434" i="21" s="1"/>
  <c r="K438" i="21"/>
  <c r="K437" i="21"/>
  <c r="K436" i="21" s="1"/>
  <c r="K435" i="21" s="1"/>
  <c r="K434" i="21" s="1"/>
  <c r="H439" i="21"/>
  <c r="H438" i="21"/>
  <c r="H437" i="21" s="1"/>
  <c r="G112" i="29" s="1"/>
  <c r="H470" i="21"/>
  <c r="H495" i="21"/>
  <c r="I594" i="21"/>
  <c r="I593" i="21" s="1"/>
  <c r="K594" i="21"/>
  <c r="K593" i="21"/>
  <c r="H593" i="21" s="1"/>
  <c r="L594" i="21"/>
  <c r="L593" i="21" s="1"/>
  <c r="L592" i="21" s="1"/>
  <c r="L591" i="21" s="1"/>
  <c r="L590" i="21" s="1"/>
  <c r="L589" i="21" s="1"/>
  <c r="I560" i="21"/>
  <c r="J560" i="21"/>
  <c r="J559" i="21" s="1"/>
  <c r="J558" i="21" s="1"/>
  <c r="K560" i="21"/>
  <c r="K559" i="21"/>
  <c r="K558" i="21" s="1"/>
  <c r="K557" i="21" s="1"/>
  <c r="L560" i="21"/>
  <c r="L559" i="21"/>
  <c r="L558" i="21"/>
  <c r="L557" i="21" s="1"/>
  <c r="H561" i="21"/>
  <c r="I240" i="24" s="1"/>
  <c r="I239" i="24" s="1"/>
  <c r="I238" i="24" s="1"/>
  <c r="I571" i="21"/>
  <c r="I570" i="21" s="1"/>
  <c r="I569" i="21"/>
  <c r="I568" i="21" s="1"/>
  <c r="J571" i="21"/>
  <c r="J570" i="21" s="1"/>
  <c r="J569" i="21"/>
  <c r="J568" i="21" s="1"/>
  <c r="K571" i="21"/>
  <c r="K570" i="21" s="1"/>
  <c r="K569" i="21"/>
  <c r="K568" i="21"/>
  <c r="L571" i="21"/>
  <c r="L570" i="21" s="1"/>
  <c r="L569" i="21" s="1"/>
  <c r="L568" i="21" s="1"/>
  <c r="I573" i="21"/>
  <c r="J573" i="21"/>
  <c r="J572" i="21"/>
  <c r="K573" i="21"/>
  <c r="K572" i="21" s="1"/>
  <c r="L573" i="21"/>
  <c r="L572" i="21"/>
  <c r="H574" i="21"/>
  <c r="H573" i="21" s="1"/>
  <c r="H572" i="21" s="1"/>
  <c r="J40" i="17"/>
  <c r="J39" i="17"/>
  <c r="J38" i="17" s="1"/>
  <c r="J37" i="17" s="1"/>
  <c r="K40" i="17"/>
  <c r="K39" i="17" s="1"/>
  <c r="K38" i="17" s="1"/>
  <c r="K37" i="17" s="1"/>
  <c r="L40" i="17"/>
  <c r="L39" i="17"/>
  <c r="M40" i="17"/>
  <c r="M39" i="17" s="1"/>
  <c r="M38" i="17" s="1"/>
  <c r="M37" i="17" s="1"/>
  <c r="I106" i="11" s="1"/>
  <c r="J44" i="17"/>
  <c r="J43" i="17" s="1"/>
  <c r="J42" i="17" s="1"/>
  <c r="K44" i="17"/>
  <c r="L44" i="17"/>
  <c r="M44" i="17"/>
  <c r="J46" i="17"/>
  <c r="K46" i="17"/>
  <c r="L46" i="17"/>
  <c r="M46" i="17"/>
  <c r="J70" i="17"/>
  <c r="K70" i="17"/>
  <c r="L70" i="17"/>
  <c r="M70" i="17"/>
  <c r="J76" i="17"/>
  <c r="K76" i="17"/>
  <c r="L76" i="17"/>
  <c r="M76" i="17"/>
  <c r="J81" i="17"/>
  <c r="K81" i="17"/>
  <c r="L81" i="17"/>
  <c r="M81" i="17"/>
  <c r="J110" i="17"/>
  <c r="K110" i="17"/>
  <c r="L110" i="17"/>
  <c r="M110" i="17"/>
  <c r="J113" i="17"/>
  <c r="K113" i="17"/>
  <c r="L113" i="17"/>
  <c r="M113" i="17"/>
  <c r="J115" i="17"/>
  <c r="K115" i="17"/>
  <c r="L115" i="17"/>
  <c r="M115" i="17"/>
  <c r="J117" i="17"/>
  <c r="K117" i="17"/>
  <c r="L117" i="17"/>
  <c r="M117" i="17"/>
  <c r="J119" i="17"/>
  <c r="K119" i="17"/>
  <c r="L119" i="17"/>
  <c r="M119" i="17"/>
  <c r="J121" i="17"/>
  <c r="K121" i="17"/>
  <c r="L121" i="17"/>
  <c r="M121" i="17"/>
  <c r="J123" i="17"/>
  <c r="K123" i="17"/>
  <c r="L123" i="17"/>
  <c r="M123" i="17"/>
  <c r="J125" i="17"/>
  <c r="K125" i="17"/>
  <c r="L125" i="17"/>
  <c r="M125" i="17"/>
  <c r="J128" i="17"/>
  <c r="K128" i="17"/>
  <c r="L128" i="17"/>
  <c r="M128" i="17"/>
  <c r="J135" i="17"/>
  <c r="K135" i="17"/>
  <c r="L135" i="17"/>
  <c r="M135" i="17"/>
  <c r="J150" i="17"/>
  <c r="J145" i="17" s="1"/>
  <c r="K150" i="17"/>
  <c r="L150" i="17"/>
  <c r="M150" i="17"/>
  <c r="J152" i="17"/>
  <c r="K152" i="17"/>
  <c r="L152" i="17"/>
  <c r="M152" i="17"/>
  <c r="J163" i="17"/>
  <c r="K163" i="17"/>
  <c r="L163" i="17"/>
  <c r="M163" i="17"/>
  <c r="J178" i="17"/>
  <c r="L178" i="17"/>
  <c r="I191" i="17"/>
  <c r="I192" i="17"/>
  <c r="I193" i="17"/>
  <c r="I194" i="17"/>
  <c r="I195" i="17"/>
  <c r="I196" i="17"/>
  <c r="I197" i="17"/>
  <c r="I198" i="17"/>
  <c r="I199" i="17"/>
  <c r="I200" i="17"/>
  <c r="F201" i="17"/>
  <c r="I201" i="17"/>
  <c r="F202" i="17"/>
  <c r="I202" i="17"/>
  <c r="I203" i="17"/>
  <c r="F204" i="17"/>
  <c r="I204" i="17"/>
  <c r="F205" i="17"/>
  <c r="I205" i="17"/>
  <c r="I206" i="17"/>
  <c r="I207" i="17"/>
  <c r="I208" i="17"/>
  <c r="I209" i="17"/>
  <c r="F24" i="11"/>
  <c r="F23" i="11" s="1"/>
  <c r="G24" i="11"/>
  <c r="G23" i="11"/>
  <c r="G21" i="11" s="1"/>
  <c r="G104" i="11" s="1"/>
  <c r="E165" i="12" s="1"/>
  <c r="E162" i="12" s="1"/>
  <c r="E148" i="12" s="1"/>
  <c r="E126" i="12" s="1"/>
  <c r="H24" i="11"/>
  <c r="H23" i="11" s="1"/>
  <c r="I24" i="11"/>
  <c r="I23" i="11"/>
  <c r="F39" i="11"/>
  <c r="F38" i="11" s="1"/>
  <c r="G39" i="11"/>
  <c r="G38" i="11"/>
  <c r="H39" i="11"/>
  <c r="H38" i="11" s="1"/>
  <c r="I39" i="11"/>
  <c r="I38" i="11"/>
  <c r="F42" i="11"/>
  <c r="F41" i="11" s="1"/>
  <c r="G42" i="11"/>
  <c r="G41" i="11"/>
  <c r="H42" i="11"/>
  <c r="H41" i="11" s="1"/>
  <c r="I42" i="11"/>
  <c r="I41" i="11"/>
  <c r="F46" i="11"/>
  <c r="G46" i="11"/>
  <c r="H46" i="11"/>
  <c r="I46" i="11"/>
  <c r="F47" i="11"/>
  <c r="G47" i="11"/>
  <c r="H47" i="11"/>
  <c r="I47" i="11"/>
  <c r="F50" i="11"/>
  <c r="F49" i="11" s="1"/>
  <c r="G50" i="11"/>
  <c r="G49" i="11" s="1"/>
  <c r="G45" i="11" s="1"/>
  <c r="H50" i="11"/>
  <c r="H49" i="11"/>
  <c r="H45" i="11"/>
  <c r="I50" i="11"/>
  <c r="I49" i="11" s="1"/>
  <c r="I45" i="11"/>
  <c r="F55" i="11"/>
  <c r="F53" i="11" s="1"/>
  <c r="F52" i="11" s="1"/>
  <c r="G55" i="11"/>
  <c r="G53" i="11" s="1"/>
  <c r="G52" i="11" s="1"/>
  <c r="H55" i="11"/>
  <c r="H53" i="11"/>
  <c r="H52" i="11" s="1"/>
  <c r="I55" i="11"/>
  <c r="I53" i="11" s="1"/>
  <c r="I52" i="11"/>
  <c r="F59" i="11"/>
  <c r="F58" i="11" s="1"/>
  <c r="G59" i="11"/>
  <c r="G58" i="11"/>
  <c r="H59" i="11"/>
  <c r="H58" i="11" s="1"/>
  <c r="I59" i="11"/>
  <c r="I58" i="11"/>
  <c r="F62" i="11"/>
  <c r="G62" i="11"/>
  <c r="H62" i="11"/>
  <c r="I62" i="11"/>
  <c r="F66" i="11"/>
  <c r="G66" i="11"/>
  <c r="H66" i="11"/>
  <c r="I66" i="11"/>
  <c r="F68" i="11"/>
  <c r="G68" i="11"/>
  <c r="H68" i="11"/>
  <c r="I68" i="11"/>
  <c r="F73" i="11"/>
  <c r="F72" i="11" s="1"/>
  <c r="G73" i="11"/>
  <c r="G72" i="11" s="1"/>
  <c r="G64" i="11"/>
  <c r="H73" i="11"/>
  <c r="H72" i="11"/>
  <c r="H64" i="11" s="1"/>
  <c r="I73" i="11"/>
  <c r="I72" i="11" s="1"/>
  <c r="F81" i="11"/>
  <c r="G81" i="11"/>
  <c r="H81" i="11"/>
  <c r="I81" i="11"/>
  <c r="F83" i="11"/>
  <c r="F80" i="11" s="1"/>
  <c r="G83" i="11"/>
  <c r="G80" i="11"/>
  <c r="H83" i="11"/>
  <c r="H80" i="11" s="1"/>
  <c r="I83" i="11"/>
  <c r="I80" i="11"/>
  <c r="F84" i="11"/>
  <c r="G84" i="11"/>
  <c r="H84" i="11"/>
  <c r="I84" i="11"/>
  <c r="F86" i="11"/>
  <c r="F85" i="11" s="1"/>
  <c r="G86" i="11"/>
  <c r="G85" i="11"/>
  <c r="H86" i="11"/>
  <c r="H85" i="11" s="1"/>
  <c r="I86" i="11"/>
  <c r="I85" i="11"/>
  <c r="F91" i="11"/>
  <c r="F90" i="11" s="1"/>
  <c r="G91" i="11"/>
  <c r="G90" i="11" s="1"/>
  <c r="G89" i="11" s="1"/>
  <c r="G88" i="11" s="1"/>
  <c r="H91" i="11"/>
  <c r="H90" i="11"/>
  <c r="I91" i="11"/>
  <c r="I90" i="11" s="1"/>
  <c r="F94" i="11"/>
  <c r="G94" i="11"/>
  <c r="H94" i="11"/>
  <c r="I94" i="11"/>
  <c r="F99" i="11"/>
  <c r="F98" i="11"/>
  <c r="F93" i="11" s="1"/>
  <c r="G99" i="11"/>
  <c r="G98" i="11" s="1"/>
  <c r="G93" i="11"/>
  <c r="H99" i="11"/>
  <c r="H98" i="11" s="1"/>
  <c r="I99" i="11"/>
  <c r="I98" i="11"/>
  <c r="I93" i="11" s="1"/>
  <c r="F105" i="11"/>
  <c r="G105" i="11"/>
  <c r="H105" i="11"/>
  <c r="I105" i="11"/>
  <c r="F4" i="26"/>
  <c r="J4" i="26"/>
  <c r="F5" i="26"/>
  <c r="J5" i="26"/>
  <c r="F6" i="26"/>
  <c r="J6" i="26"/>
  <c r="F7" i="26"/>
  <c r="H7" i="26"/>
  <c r="G7" i="26"/>
  <c r="J7" i="26"/>
  <c r="F8" i="26"/>
  <c r="H8" i="26"/>
  <c r="G8" i="26"/>
  <c r="J8" i="26"/>
  <c r="F9" i="26"/>
  <c r="J9" i="26"/>
  <c r="F10" i="26"/>
  <c r="J10" i="26"/>
  <c r="F11" i="26"/>
  <c r="H11" i="26"/>
  <c r="G11" i="26" s="1"/>
  <c r="H10" i="26"/>
  <c r="G10" i="26" s="1"/>
  <c r="J11" i="26"/>
  <c r="F12" i="26"/>
  <c r="J12" i="26"/>
  <c r="F13" i="26"/>
  <c r="G13" i="26"/>
  <c r="J13" i="26"/>
  <c r="F14" i="26"/>
  <c r="J14" i="26"/>
  <c r="F15" i="26"/>
  <c r="J15" i="26"/>
  <c r="F16" i="26"/>
  <c r="J16" i="26"/>
  <c r="F17" i="26"/>
  <c r="H17" i="26"/>
  <c r="J17" i="26"/>
  <c r="F18" i="26"/>
  <c r="J18" i="26"/>
  <c r="F19" i="26"/>
  <c r="J19" i="26"/>
  <c r="F20" i="26"/>
  <c r="H20" i="26"/>
  <c r="G20" i="26" s="1"/>
  <c r="J20" i="26"/>
  <c r="F21" i="26"/>
  <c r="J21" i="26"/>
  <c r="F22" i="26"/>
  <c r="J22" i="26"/>
  <c r="F23" i="26"/>
  <c r="J23" i="26"/>
  <c r="F24" i="26"/>
  <c r="J24" i="26"/>
  <c r="F25" i="26"/>
  <c r="H25" i="26"/>
  <c r="G25" i="26" s="1"/>
  <c r="J25" i="26"/>
  <c r="F26" i="26"/>
  <c r="J26" i="26"/>
  <c r="F27" i="26"/>
  <c r="J27" i="26"/>
  <c r="F28" i="26"/>
  <c r="H28" i="26"/>
  <c r="G28" i="26" s="1"/>
  <c r="J28" i="26"/>
  <c r="F29" i="26"/>
  <c r="H29" i="26"/>
  <c r="G29" i="26" s="1"/>
  <c r="J29" i="26"/>
  <c r="F30" i="26"/>
  <c r="J30" i="26"/>
  <c r="F31" i="26"/>
  <c r="H31" i="26"/>
  <c r="H30" i="26" s="1"/>
  <c r="G30" i="26" s="1"/>
  <c r="G31" i="26"/>
  <c r="J31" i="26"/>
  <c r="F32" i="26"/>
  <c r="H32" i="26"/>
  <c r="G32" i="26" s="1"/>
  <c r="J32" i="26"/>
  <c r="F33" i="26"/>
  <c r="J33" i="26"/>
  <c r="F34" i="26"/>
  <c r="H34" i="26"/>
  <c r="G34" i="26" s="1"/>
  <c r="J34" i="26"/>
  <c r="F35" i="26"/>
  <c r="H35" i="26"/>
  <c r="G35" i="26" s="1"/>
  <c r="J35" i="26"/>
  <c r="F36" i="26"/>
  <c r="H36" i="26"/>
  <c r="G36" i="26" s="1"/>
  <c r="J36" i="26"/>
  <c r="F37" i="26"/>
  <c r="H37" i="26"/>
  <c r="G37" i="26" s="1"/>
  <c r="J37" i="26"/>
  <c r="F38" i="26"/>
  <c r="H38" i="26"/>
  <c r="G38" i="26" s="1"/>
  <c r="J38" i="26"/>
  <c r="F39" i="26"/>
  <c r="H39" i="26"/>
  <c r="G39" i="26" s="1"/>
  <c r="J39" i="26"/>
  <c r="F40" i="26"/>
  <c r="H40" i="26"/>
  <c r="G40" i="26" s="1"/>
  <c r="J40" i="26"/>
  <c r="F41" i="26"/>
  <c r="J41" i="26"/>
  <c r="F42" i="26"/>
  <c r="J42" i="26"/>
  <c r="F43" i="26"/>
  <c r="J43" i="26"/>
  <c r="F44" i="26"/>
  <c r="J44" i="26"/>
  <c r="D45" i="26"/>
  <c r="E45" i="26"/>
  <c r="B10" i="20"/>
  <c r="C10" i="20"/>
  <c r="D10" i="20"/>
  <c r="D35" i="20" s="1"/>
  <c r="D45" i="20" s="1"/>
  <c r="F12" i="20"/>
  <c r="G12" i="20"/>
  <c r="F13" i="20"/>
  <c r="E14" i="20"/>
  <c r="E10" i="20"/>
  <c r="B19" i="20"/>
  <c r="B35" i="20"/>
  <c r="C19" i="20"/>
  <c r="C35" i="20"/>
  <c r="C45" i="20" s="1"/>
  <c r="D19" i="20"/>
  <c r="E20" i="20"/>
  <c r="F20" i="20"/>
  <c r="G20" i="20"/>
  <c r="E22" i="20"/>
  <c r="F22" i="20"/>
  <c r="G22" i="20"/>
  <c r="E24" i="20"/>
  <c r="F24" i="20"/>
  <c r="G24" i="20"/>
  <c r="E25" i="20"/>
  <c r="F25" i="20"/>
  <c r="G25" i="20"/>
  <c r="E26" i="20"/>
  <c r="F26" i="20"/>
  <c r="G26" i="20"/>
  <c r="E28" i="20"/>
  <c r="F28" i="20"/>
  <c r="F19" i="20" s="1"/>
  <c r="G28" i="20"/>
  <c r="E29" i="20"/>
  <c r="F29" i="20"/>
  <c r="G29" i="20"/>
  <c r="G19" i="20" s="1"/>
  <c r="E30" i="20"/>
  <c r="F30" i="20"/>
  <c r="G30" i="20"/>
  <c r="E31" i="20"/>
  <c r="F31" i="20"/>
  <c r="G31" i="20"/>
  <c r="B39" i="20"/>
  <c r="C39" i="20"/>
  <c r="D39" i="20"/>
  <c r="E39" i="20"/>
  <c r="F39" i="20"/>
  <c r="G39" i="20"/>
  <c r="E23" i="22"/>
  <c r="D23" i="22" s="1"/>
  <c r="F23" i="22"/>
  <c r="G23" i="22"/>
  <c r="D27" i="22"/>
  <c r="E28" i="11"/>
  <c r="D32" i="22"/>
  <c r="E38" i="22"/>
  <c r="F38" i="22"/>
  <c r="F37" i="22"/>
  <c r="G38" i="22"/>
  <c r="G37" i="22"/>
  <c r="H38" i="22"/>
  <c r="H37" i="22"/>
  <c r="D39" i="22"/>
  <c r="E41" i="22"/>
  <c r="E40" i="22"/>
  <c r="F41" i="22"/>
  <c r="F40" i="22" s="1"/>
  <c r="G41" i="22"/>
  <c r="G40" i="22" s="1"/>
  <c r="H40" i="22" s="1"/>
  <c r="D42" i="22"/>
  <c r="E43" i="11"/>
  <c r="E42" i="11" s="1"/>
  <c r="E41" i="11" s="1"/>
  <c r="E45" i="22"/>
  <c r="F45" i="22"/>
  <c r="G45" i="22"/>
  <c r="H45" i="22"/>
  <c r="E46" i="22"/>
  <c r="F46" i="22"/>
  <c r="G46" i="22"/>
  <c r="H46" i="22"/>
  <c r="D47" i="22"/>
  <c r="D46" i="22"/>
  <c r="D45" i="22"/>
  <c r="E49" i="22"/>
  <c r="E48" i="22" s="1"/>
  <c r="E44" i="22"/>
  <c r="F49" i="22"/>
  <c r="F48" i="22" s="1"/>
  <c r="G49" i="22"/>
  <c r="G48" i="22"/>
  <c r="G44" i="22"/>
  <c r="H49" i="22"/>
  <c r="H48" i="22" s="1"/>
  <c r="D50" i="22"/>
  <c r="D49" i="22"/>
  <c r="D48" i="22"/>
  <c r="E54" i="22"/>
  <c r="E53" i="22"/>
  <c r="F54" i="22"/>
  <c r="F53" i="22" s="1"/>
  <c r="F52" i="22"/>
  <c r="F51" i="22" s="1"/>
  <c r="G54" i="22"/>
  <c r="G53" i="22" s="1"/>
  <c r="G52" i="22"/>
  <c r="G51" i="22" s="1"/>
  <c r="H54" i="22"/>
  <c r="H53" i="22" s="1"/>
  <c r="H52" i="22"/>
  <c r="H51" i="22"/>
  <c r="D55" i="22"/>
  <c r="D54" i="22" s="1"/>
  <c r="D56" i="22"/>
  <c r="E57" i="11"/>
  <c r="E58" i="22"/>
  <c r="E57" i="22" s="1"/>
  <c r="E19" i="22" s="1"/>
  <c r="F58" i="22"/>
  <c r="F57" i="22"/>
  <c r="G58" i="22"/>
  <c r="G57" i="22" s="1"/>
  <c r="H58" i="22"/>
  <c r="H57" i="22"/>
  <c r="D59" i="22"/>
  <c r="D60" i="22"/>
  <c r="E61" i="22"/>
  <c r="F61" i="22"/>
  <c r="G61" i="22"/>
  <c r="H61" i="22"/>
  <c r="D62" i="22"/>
  <c r="D61" i="22"/>
  <c r="D64" i="22"/>
  <c r="E65" i="11" s="1"/>
  <c r="E65" i="22"/>
  <c r="F65" i="22"/>
  <c r="G65" i="22"/>
  <c r="D65" i="22" s="1"/>
  <c r="H65" i="22"/>
  <c r="D66" i="22"/>
  <c r="E67" i="11"/>
  <c r="E66" i="11"/>
  <c r="E67" i="22"/>
  <c r="D67" i="22" s="1"/>
  <c r="F67" i="22"/>
  <c r="D68" i="22"/>
  <c r="E69" i="11"/>
  <c r="E68" i="11" s="1"/>
  <c r="E69" i="22"/>
  <c r="F69" i="22"/>
  <c r="G69" i="22"/>
  <c r="D70" i="22"/>
  <c r="E71" i="11" s="1"/>
  <c r="E71" i="22"/>
  <c r="F71" i="22"/>
  <c r="H71" i="22"/>
  <c r="D73" i="22"/>
  <c r="D78" i="22"/>
  <c r="E79" i="11" s="1"/>
  <c r="E80" i="22"/>
  <c r="F80" i="22"/>
  <c r="G80" i="22"/>
  <c r="H80" i="22"/>
  <c r="D81" i="22"/>
  <c r="E82" i="22"/>
  <c r="E79" i="22" s="1"/>
  <c r="F82" i="22"/>
  <c r="D82" i="22" s="1"/>
  <c r="D79" i="22" s="1"/>
  <c r="F79" i="22"/>
  <c r="G82" i="22"/>
  <c r="G79" i="22" s="1"/>
  <c r="H82" i="22"/>
  <c r="H79" i="22"/>
  <c r="E83" i="22"/>
  <c r="F83" i="22"/>
  <c r="G83" i="22"/>
  <c r="H83" i="22"/>
  <c r="D84" i="22"/>
  <c r="D83" i="22" s="1"/>
  <c r="E86" i="22"/>
  <c r="E85" i="22"/>
  <c r="F86" i="22"/>
  <c r="F85" i="22"/>
  <c r="G86" i="22"/>
  <c r="G85" i="22"/>
  <c r="H86" i="22"/>
  <c r="H85" i="22"/>
  <c r="D87" i="22"/>
  <c r="D86" i="22"/>
  <c r="D85" i="22"/>
  <c r="E91" i="22"/>
  <c r="E90" i="22" s="1"/>
  <c r="F91" i="22"/>
  <c r="F90" i="22" s="1"/>
  <c r="G91" i="22"/>
  <c r="G90" i="22" s="1"/>
  <c r="H91" i="22"/>
  <c r="H90" i="22" s="1"/>
  <c r="H89" i="22" s="1"/>
  <c r="H88" i="22" s="1"/>
  <c r="D92" i="22"/>
  <c r="E92" i="11" s="1"/>
  <c r="E91" i="11"/>
  <c r="E90" i="11"/>
  <c r="E99" i="22"/>
  <c r="E98" i="22" s="1"/>
  <c r="E93" i="22" s="1"/>
  <c r="F99" i="22"/>
  <c r="F98" i="22"/>
  <c r="F93" i="22"/>
  <c r="G99" i="22"/>
  <c r="G98" i="22"/>
  <c r="H99" i="22"/>
  <c r="H98" i="22"/>
  <c r="H93" i="22" s="1"/>
  <c r="J35" i="24"/>
  <c r="J34" i="24" s="1"/>
  <c r="J33" i="24" s="1"/>
  <c r="K35" i="24"/>
  <c r="K34" i="24" s="1"/>
  <c r="L35" i="24"/>
  <c r="L34" i="24"/>
  <c r="M35" i="24"/>
  <c r="M34" i="24" s="1"/>
  <c r="J43" i="24"/>
  <c r="J42" i="24"/>
  <c r="K43" i="24"/>
  <c r="L43" i="24"/>
  <c r="M43" i="24"/>
  <c r="M42" i="24"/>
  <c r="J46" i="24"/>
  <c r="K46" i="24"/>
  <c r="L46" i="24"/>
  <c r="M46" i="24"/>
  <c r="J48" i="24"/>
  <c r="K48" i="24"/>
  <c r="L48" i="24"/>
  <c r="M48" i="24"/>
  <c r="J68" i="24"/>
  <c r="J67" i="24" s="1"/>
  <c r="K68" i="24"/>
  <c r="K67" i="24" s="1"/>
  <c r="L68" i="24"/>
  <c r="L67" i="24" s="1"/>
  <c r="M68" i="24"/>
  <c r="M67" i="24" s="1"/>
  <c r="J101" i="24"/>
  <c r="K101" i="24"/>
  <c r="L101" i="24"/>
  <c r="L100" i="24" s="1"/>
  <c r="M101" i="24"/>
  <c r="J108" i="24"/>
  <c r="K108" i="24"/>
  <c r="L108" i="24"/>
  <c r="M108" i="24"/>
  <c r="J116" i="24"/>
  <c r="K116" i="24"/>
  <c r="L116" i="24"/>
  <c r="M116" i="24"/>
  <c r="J123" i="24"/>
  <c r="J122" i="24" s="1"/>
  <c r="L123" i="24"/>
  <c r="L122" i="24"/>
  <c r="K143" i="24"/>
  <c r="K123" i="24" s="1"/>
  <c r="K122" i="24" s="1"/>
  <c r="M143" i="24"/>
  <c r="M123" i="24"/>
  <c r="M122" i="24" s="1"/>
  <c r="J162" i="24"/>
  <c r="J161" i="24" s="1"/>
  <c r="K162" i="24"/>
  <c r="K161" i="24"/>
  <c r="L162" i="24"/>
  <c r="L161" i="24"/>
  <c r="M162" i="24"/>
  <c r="J178" i="24"/>
  <c r="K178" i="24"/>
  <c r="L178" i="24"/>
  <c r="M178" i="24"/>
  <c r="J180" i="24"/>
  <c r="K180" i="24"/>
  <c r="L180" i="24"/>
  <c r="M180" i="24"/>
  <c r="J182" i="24"/>
  <c r="K182" i="24"/>
  <c r="L182" i="24"/>
  <c r="M182" i="24"/>
  <c r="J185" i="24"/>
  <c r="K185" i="24"/>
  <c r="L185" i="24"/>
  <c r="L184" i="24" s="1"/>
  <c r="M185" i="24"/>
  <c r="J188" i="24"/>
  <c r="K188" i="24"/>
  <c r="L188" i="24"/>
  <c r="M188" i="24"/>
  <c r="J195" i="24"/>
  <c r="K195" i="24"/>
  <c r="L195" i="24"/>
  <c r="M195" i="24"/>
  <c r="J199" i="24"/>
  <c r="K199" i="24"/>
  <c r="L199" i="24"/>
  <c r="L194" i="24" s="1"/>
  <c r="M199" i="24"/>
  <c r="J201" i="24"/>
  <c r="K201" i="24"/>
  <c r="L201" i="24"/>
  <c r="M201" i="24"/>
  <c r="J205" i="24"/>
  <c r="J204" i="24" s="1"/>
  <c r="J203" i="24"/>
  <c r="K205" i="24"/>
  <c r="K204" i="24" s="1"/>
  <c r="K203" i="24" s="1"/>
  <c r="L205" i="24"/>
  <c r="L204" i="24"/>
  <c r="L203" i="24"/>
  <c r="M205" i="24"/>
  <c r="M204" i="24"/>
  <c r="M203" i="24"/>
  <c r="J215" i="24"/>
  <c r="K215" i="24"/>
  <c r="L215" i="24"/>
  <c r="M215" i="24"/>
  <c r="J219" i="24"/>
  <c r="K219" i="24"/>
  <c r="L219" i="24"/>
  <c r="M219" i="24"/>
  <c r="J228" i="24"/>
  <c r="J227" i="24" s="1"/>
  <c r="J226" i="24" s="1"/>
  <c r="K228" i="24"/>
  <c r="K227" i="24"/>
  <c r="K226" i="24" s="1"/>
  <c r="L228" i="24"/>
  <c r="L227" i="24" s="1"/>
  <c r="L226" i="24" s="1"/>
  <c r="M228" i="24"/>
  <c r="M227" i="24"/>
  <c r="M226" i="24" s="1"/>
  <c r="K248" i="24"/>
  <c r="L248" i="24"/>
  <c r="M248" i="24"/>
  <c r="M247" i="24" s="1"/>
  <c r="K249" i="24"/>
  <c r="K244" i="24"/>
  <c r="K237" i="24" s="1"/>
  <c r="L249" i="24"/>
  <c r="L244" i="24"/>
  <c r="L237" i="24" s="1"/>
  <c r="M249" i="24"/>
  <c r="I268" i="24"/>
  <c r="I269" i="24"/>
  <c r="I270" i="24"/>
  <c r="I271" i="24"/>
  <c r="I272" i="24"/>
  <c r="I273" i="24"/>
  <c r="I274" i="24"/>
  <c r="I275" i="24"/>
  <c r="I276" i="24"/>
  <c r="I277" i="24"/>
  <c r="F278" i="24"/>
  <c r="I278" i="24"/>
  <c r="F279" i="24"/>
  <c r="I279" i="24"/>
  <c r="I280" i="24"/>
  <c r="F281" i="24"/>
  <c r="I281" i="24"/>
  <c r="F282" i="24"/>
  <c r="I282" i="24"/>
  <c r="I283" i="24"/>
  <c r="I284" i="24"/>
  <c r="I285" i="24"/>
  <c r="I286" i="24"/>
  <c r="J134" i="17"/>
  <c r="M134" i="17"/>
  <c r="K134" i="17"/>
  <c r="M43" i="17"/>
  <c r="M42" i="17"/>
  <c r="K43" i="17"/>
  <c r="K42" i="17" s="1"/>
  <c r="M145" i="17"/>
  <c r="K145" i="17"/>
  <c r="L43" i="17"/>
  <c r="L42" i="17" s="1"/>
  <c r="L282" i="21"/>
  <c r="L281" i="21"/>
  <c r="D91" i="22"/>
  <c r="D90" i="22" s="1"/>
  <c r="E40" i="11"/>
  <c r="E39" i="11"/>
  <c r="E38" i="11"/>
  <c r="H9" i="26"/>
  <c r="G9" i="26"/>
  <c r="E37" i="22"/>
  <c r="M244" i="24"/>
  <c r="M237" i="24" s="1"/>
  <c r="J177" i="24"/>
  <c r="J100" i="24"/>
  <c r="K42" i="24"/>
  <c r="E83" i="11"/>
  <c r="H44" i="26"/>
  <c r="G44" i="26" s="1"/>
  <c r="H42" i="26"/>
  <c r="G42" i="26"/>
  <c r="E56" i="11"/>
  <c r="E55" i="11" s="1"/>
  <c r="E54" i="11" s="1"/>
  <c r="E53" i="11" s="1"/>
  <c r="E52" i="11" s="1"/>
  <c r="H24" i="26"/>
  <c r="H23" i="26" s="1"/>
  <c r="H5" i="26"/>
  <c r="G5" i="26" s="1"/>
  <c r="K247" i="24"/>
  <c r="M161" i="24"/>
  <c r="L42" i="24"/>
  <c r="M178" i="17"/>
  <c r="K178" i="17"/>
  <c r="L234" i="21"/>
  <c r="L233" i="21"/>
  <c r="H81" i="21"/>
  <c r="H80" i="21"/>
  <c r="H79" i="21"/>
  <c r="I31" i="30" s="1"/>
  <c r="K292" i="21"/>
  <c r="K291" i="21" s="1"/>
  <c r="K289" i="21" s="1"/>
  <c r="I108" i="24"/>
  <c r="L145" i="17"/>
  <c r="L134" i="17"/>
  <c r="M184" i="24"/>
  <c r="L247" i="24"/>
  <c r="M100" i="24"/>
  <c r="H12" i="26"/>
  <c r="G12" i="26"/>
  <c r="H33" i="26"/>
  <c r="G33" i="26" s="1"/>
  <c r="D38" i="22"/>
  <c r="H19" i="26"/>
  <c r="D99" i="22"/>
  <c r="D58" i="22"/>
  <c r="D57" i="22" s="1"/>
  <c r="K214" i="24"/>
  <c r="K207" i="24"/>
  <c r="M214" i="24"/>
  <c r="M207" i="24" s="1"/>
  <c r="K100" i="24"/>
  <c r="K177" i="24"/>
  <c r="K160" i="24" s="1"/>
  <c r="K159" i="24" s="1"/>
  <c r="L214" i="24"/>
  <c r="L207" i="24" s="1"/>
  <c r="J184" i="24"/>
  <c r="M194" i="24"/>
  <c r="K194" i="24"/>
  <c r="H87" i="21"/>
  <c r="H86" i="21" s="1"/>
  <c r="H85" i="21" s="1"/>
  <c r="H84" i="21" s="1"/>
  <c r="I33" i="30" s="1"/>
  <c r="J33" i="30" s="1"/>
  <c r="H41" i="26"/>
  <c r="G41" i="26" s="1"/>
  <c r="I572" i="21"/>
  <c r="F31" i="27"/>
  <c r="G31" i="27" s="1"/>
  <c r="D30" i="22"/>
  <c r="E31" i="11"/>
  <c r="H238" i="21"/>
  <c r="H237" i="21" s="1"/>
  <c r="I113" i="24" s="1"/>
  <c r="H95" i="21"/>
  <c r="C37" i="20"/>
  <c r="C36" i="20"/>
  <c r="H215" i="21"/>
  <c r="I187" i="24"/>
  <c r="I127" i="17"/>
  <c r="H22" i="22"/>
  <c r="H21" i="22" s="1"/>
  <c r="G22" i="22"/>
  <c r="G21" i="22"/>
  <c r="F22" i="22"/>
  <c r="F21" i="22" s="1"/>
  <c r="E22" i="22"/>
  <c r="E21" i="22"/>
  <c r="D24" i="22"/>
  <c r="I559" i="21"/>
  <c r="I558" i="21"/>
  <c r="H71" i="21"/>
  <c r="H70" i="21" s="1"/>
  <c r="I283" i="21"/>
  <c r="I282" i="21" s="1"/>
  <c r="H162" i="21"/>
  <c r="H161" i="21" s="1"/>
  <c r="H160" i="21" s="1"/>
  <c r="I43" i="30" s="1"/>
  <c r="J154" i="21"/>
  <c r="J153" i="21"/>
  <c r="J152" i="21"/>
  <c r="J151" i="21" s="1"/>
  <c r="J162" i="21"/>
  <c r="J161" i="21" s="1"/>
  <c r="J160" i="21"/>
  <c r="J159" i="21"/>
  <c r="J184" i="21"/>
  <c r="J175" i="21" s="1"/>
  <c r="H175" i="21" s="1"/>
  <c r="I46" i="30" s="1"/>
  <c r="J46" i="30" s="1"/>
  <c r="K46" i="30" s="1"/>
  <c r="H219" i="21"/>
  <c r="H254" i="21"/>
  <c r="H253" i="21"/>
  <c r="I155" i="24"/>
  <c r="I154" i="24"/>
  <c r="I153" i="24"/>
  <c r="H313" i="21"/>
  <c r="H312" i="21" s="1"/>
  <c r="I82" i="30"/>
  <c r="J82" i="30" s="1"/>
  <c r="K82" i="30" s="1"/>
  <c r="K81" i="30" s="1"/>
  <c r="K80" i="30" s="1"/>
  <c r="H571" i="21"/>
  <c r="H570" i="21"/>
  <c r="H569" i="21" s="1"/>
  <c r="H568" i="21"/>
  <c r="H469" i="21"/>
  <c r="H213" i="21"/>
  <c r="H212" i="21" s="1"/>
  <c r="H211" i="21"/>
  <c r="H419" i="21"/>
  <c r="H418" i="21"/>
  <c r="I552" i="21"/>
  <c r="I551" i="21"/>
  <c r="H534" i="21"/>
  <c r="H533" i="21" s="1"/>
  <c r="I220" i="32"/>
  <c r="I219" i="32" s="1"/>
  <c r="I218" i="32" s="1"/>
  <c r="H585" i="21"/>
  <c r="H584" i="21"/>
  <c r="J552" i="21"/>
  <c r="J551" i="21"/>
  <c r="J550" i="21"/>
  <c r="L552" i="21"/>
  <c r="L551" i="21" s="1"/>
  <c r="L550" i="21"/>
  <c r="K552" i="21"/>
  <c r="K551" i="21"/>
  <c r="K550" i="21" s="1"/>
  <c r="K184" i="24"/>
  <c r="L481" i="21"/>
  <c r="K33" i="24"/>
  <c r="K32" i="24" s="1"/>
  <c r="H553" i="21"/>
  <c r="H447" i="21"/>
  <c r="H448" i="21"/>
  <c r="K346" i="21"/>
  <c r="K345" i="21"/>
  <c r="K344" i="21" s="1"/>
  <c r="K328" i="21" s="1"/>
  <c r="H367" i="21"/>
  <c r="L346" i="21"/>
  <c r="L345" i="21" s="1"/>
  <c r="L344" i="21" s="1"/>
  <c r="K366" i="21"/>
  <c r="K365" i="21"/>
  <c r="J366" i="21"/>
  <c r="J365" i="21" s="1"/>
  <c r="J364" i="21"/>
  <c r="J341" i="21"/>
  <c r="J340" i="21" s="1"/>
  <c r="J339" i="21" s="1"/>
  <c r="I452" i="21"/>
  <c r="L62" i="21"/>
  <c r="L61" i="21"/>
  <c r="L60" i="21"/>
  <c r="L59" i="21" s="1"/>
  <c r="H204" i="21"/>
  <c r="H203" i="21"/>
  <c r="H202" i="21" s="1"/>
  <c r="I47" i="30" s="1"/>
  <c r="J47" i="30" s="1"/>
  <c r="K47" i="30" s="1"/>
  <c r="I168" i="32"/>
  <c r="I167" i="32"/>
  <c r="H96" i="21"/>
  <c r="I56" i="24"/>
  <c r="L510" i="21"/>
  <c r="L509" i="21"/>
  <c r="L508" i="21" s="1"/>
  <c r="L507" i="21" s="1"/>
  <c r="L376" i="21"/>
  <c r="L375" i="21" s="1"/>
  <c r="L363" i="21" s="1"/>
  <c r="H18" i="21"/>
  <c r="F34" i="31"/>
  <c r="K71" i="21"/>
  <c r="K70" i="21"/>
  <c r="K69" i="21" s="1"/>
  <c r="K414" i="21"/>
  <c r="K413" i="21"/>
  <c r="K412" i="21"/>
  <c r="H499" i="21"/>
  <c r="H596" i="21"/>
  <c r="E71" i="33"/>
  <c r="H14" i="21"/>
  <c r="L193" i="32"/>
  <c r="L186" i="32"/>
  <c r="M81" i="32"/>
  <c r="H305" i="21"/>
  <c r="H304" i="21" s="1"/>
  <c r="I64" i="32"/>
  <c r="I63" i="32" s="1"/>
  <c r="I62" i="32"/>
  <c r="F239" i="32"/>
  <c r="E153" i="33"/>
  <c r="E154" i="33" s="1"/>
  <c r="F177" i="17"/>
  <c r="H24" i="21"/>
  <c r="J414" i="21"/>
  <c r="J413" i="21"/>
  <c r="H23" i="21"/>
  <c r="L369" i="21"/>
  <c r="L366" i="21"/>
  <c r="L365" i="21" s="1"/>
  <c r="H520" i="21"/>
  <c r="I100" i="21"/>
  <c r="I99" i="21" s="1"/>
  <c r="H269" i="21"/>
  <c r="H268" i="21" s="1"/>
  <c r="F63" i="22"/>
  <c r="K167" i="21"/>
  <c r="K166" i="21" s="1"/>
  <c r="L11" i="21"/>
  <c r="L10" i="21" s="1"/>
  <c r="I149" i="30"/>
  <c r="I148" i="30"/>
  <c r="F212" i="32"/>
  <c r="I231" i="24"/>
  <c r="I230" i="24"/>
  <c r="I366" i="21"/>
  <c r="I365" i="21" s="1"/>
  <c r="I177" i="21"/>
  <c r="H177" i="21" s="1"/>
  <c r="E132" i="33"/>
  <c r="E133" i="33" s="1"/>
  <c r="D475" i="21"/>
  <c r="F153" i="17" s="1"/>
  <c r="D474" i="21"/>
  <c r="F201" i="32"/>
  <c r="H560" i="21"/>
  <c r="H559" i="21" s="1"/>
  <c r="L292" i="21"/>
  <c r="L291" i="21"/>
  <c r="J292" i="21"/>
  <c r="J291" i="21" s="1"/>
  <c r="J289" i="21" s="1"/>
  <c r="I71" i="21"/>
  <c r="I70" i="21"/>
  <c r="I69" i="21" s="1"/>
  <c r="L167" i="21"/>
  <c r="L166" i="21" s="1"/>
  <c r="H101" i="21"/>
  <c r="D491" i="21"/>
  <c r="D492" i="21"/>
  <c r="E132" i="29"/>
  <c r="E131" i="29" s="1"/>
  <c r="I415" i="21"/>
  <c r="I217" i="21"/>
  <c r="I210" i="21" s="1"/>
  <c r="I209" i="21" s="1"/>
  <c r="H360" i="21"/>
  <c r="H358" i="21" s="1"/>
  <c r="J392" i="21"/>
  <c r="H264" i="21"/>
  <c r="H263" i="21"/>
  <c r="H261" i="21" s="1"/>
  <c r="K511" i="21"/>
  <c r="K510" i="21" s="1"/>
  <c r="K509" i="21" s="1"/>
  <c r="K508" i="21" s="1"/>
  <c r="K507" i="21" s="1"/>
  <c r="H512" i="21"/>
  <c r="H511" i="21"/>
  <c r="H510" i="21" s="1"/>
  <c r="I212" i="32" s="1"/>
  <c r="I211" i="32" s="1"/>
  <c r="I210" i="32" s="1"/>
  <c r="H217" i="21"/>
  <c r="F20" i="31"/>
  <c r="I74" i="30"/>
  <c r="J74" i="30"/>
  <c r="I138" i="24"/>
  <c r="I137" i="24" s="1"/>
  <c r="F12" i="31"/>
  <c r="I275" i="21"/>
  <c r="I274" i="21" s="1"/>
  <c r="I401" i="21"/>
  <c r="I191" i="24"/>
  <c r="I190" i="24" s="1"/>
  <c r="I176" i="21"/>
  <c r="I175" i="21" s="1"/>
  <c r="I345" i="21"/>
  <c r="I344" i="21" s="1"/>
  <c r="L276" i="21"/>
  <c r="H63" i="21"/>
  <c r="F28" i="27"/>
  <c r="G28" i="27" s="1"/>
  <c r="F26" i="27"/>
  <c r="G26" i="27"/>
  <c r="F32" i="27"/>
  <c r="F25" i="27"/>
  <c r="G25" i="27" s="1"/>
  <c r="H25" i="27" s="1"/>
  <c r="F30" i="27"/>
  <c r="G30" i="27" s="1"/>
  <c r="F29" i="27"/>
  <c r="G29" i="27" s="1"/>
  <c r="F27" i="27"/>
  <c r="G27" i="27" s="1"/>
  <c r="E151" i="29"/>
  <c r="I50" i="29"/>
  <c r="I17" i="29" s="1"/>
  <c r="H50" i="29"/>
  <c r="H17" i="29" s="1"/>
  <c r="K340" i="21"/>
  <c r="K339" i="21" s="1"/>
  <c r="D240" i="21"/>
  <c r="E56" i="33" s="1"/>
  <c r="E57" i="33" s="1"/>
  <c r="D241" i="21"/>
  <c r="E59" i="29"/>
  <c r="E58" i="29" s="1"/>
  <c r="D378" i="21"/>
  <c r="D377" i="21"/>
  <c r="D379" i="21"/>
  <c r="D425" i="21"/>
  <c r="C47" i="31" s="1"/>
  <c r="D426" i="21"/>
  <c r="H191" i="21"/>
  <c r="H190" i="21" s="1"/>
  <c r="I61" i="30"/>
  <c r="I117" i="24"/>
  <c r="I116" i="24" s="1"/>
  <c r="I57" i="30"/>
  <c r="E121" i="33"/>
  <c r="E122" i="33"/>
  <c r="I73" i="30"/>
  <c r="L518" i="21"/>
  <c r="L517" i="21"/>
  <c r="L516" i="21" s="1"/>
  <c r="L506" i="21" s="1"/>
  <c r="C19" i="31"/>
  <c r="I518" i="21"/>
  <c r="I517" i="21"/>
  <c r="J518" i="21"/>
  <c r="H518" i="21" s="1"/>
  <c r="J517" i="21"/>
  <c r="H517" i="21" s="1"/>
  <c r="D517" i="21"/>
  <c r="E135" i="33" s="1"/>
  <c r="E136" i="33" s="1"/>
  <c r="F150" i="17"/>
  <c r="E119" i="33"/>
  <c r="E120" i="33"/>
  <c r="C55" i="31"/>
  <c r="D523" i="21"/>
  <c r="H430" i="21"/>
  <c r="H551" i="21"/>
  <c r="J493" i="21"/>
  <c r="J492" i="21"/>
  <c r="I375" i="21"/>
  <c r="I315" i="21"/>
  <c r="J241" i="21"/>
  <c r="J240" i="21" s="1"/>
  <c r="H369" i="21"/>
  <c r="I557" i="21"/>
  <c r="I179" i="32"/>
  <c r="I178" i="32" s="1"/>
  <c r="H526" i="21"/>
  <c r="I169" i="17" s="1"/>
  <c r="I168" i="17" s="1"/>
  <c r="H458" i="21"/>
  <c r="I147" i="17"/>
  <c r="I146" i="17"/>
  <c r="J149" i="30"/>
  <c r="D115" i="33"/>
  <c r="D116" i="33"/>
  <c r="C113" i="33"/>
  <c r="C114" i="33"/>
  <c r="C119" i="33" s="1"/>
  <c r="C120" i="33" s="1"/>
  <c r="C121" i="33" s="1"/>
  <c r="C122" i="33" s="1"/>
  <c r="C123" i="33" s="1"/>
  <c r="C124" i="33" s="1"/>
  <c r="K40" i="32"/>
  <c r="K39" i="32"/>
  <c r="I420" i="21"/>
  <c r="K189" i="21"/>
  <c r="K188" i="21"/>
  <c r="K187" i="21" s="1"/>
  <c r="I232" i="21"/>
  <c r="D251" i="21"/>
  <c r="E63" i="29"/>
  <c r="E62" i="29" s="1"/>
  <c r="D250" i="21"/>
  <c r="E60" i="33" s="1"/>
  <c r="E61" i="33"/>
  <c r="D401" i="21"/>
  <c r="E100" i="33" s="1"/>
  <c r="E101" i="33" s="1"/>
  <c r="D402" i="21"/>
  <c r="F168" i="32"/>
  <c r="F167" i="32"/>
  <c r="L187" i="21"/>
  <c r="L189" i="21"/>
  <c r="J189" i="21"/>
  <c r="H92" i="21"/>
  <c r="H91" i="21"/>
  <c r="H90" i="21" s="1"/>
  <c r="F152" i="17"/>
  <c r="M161" i="32"/>
  <c r="K135" i="32"/>
  <c r="L161" i="32"/>
  <c r="L134" i="32" s="1"/>
  <c r="C21" i="31"/>
  <c r="I309" i="21"/>
  <c r="L364" i="21"/>
  <c r="H366" i="21"/>
  <c r="D303" i="21"/>
  <c r="E79" i="29"/>
  <c r="E78" i="29" s="1"/>
  <c r="D302" i="21"/>
  <c r="E72" i="33" s="1"/>
  <c r="E73" i="33" s="1"/>
  <c r="D420" i="21"/>
  <c r="E106" i="33"/>
  <c r="E107" i="33" s="1"/>
  <c r="D421" i="21"/>
  <c r="E108" i="29" s="1"/>
  <c r="E107" i="29" s="1"/>
  <c r="F175" i="32"/>
  <c r="I77" i="21"/>
  <c r="H425" i="21"/>
  <c r="I200" i="24"/>
  <c r="I199" i="24"/>
  <c r="I177" i="32"/>
  <c r="I176" i="32" s="1"/>
  <c r="H214" i="21"/>
  <c r="H210" i="21" s="1"/>
  <c r="F208" i="32"/>
  <c r="D501" i="21"/>
  <c r="D500" i="21"/>
  <c r="C51" i="31" s="1"/>
  <c r="J315" i="21"/>
  <c r="H315" i="21"/>
  <c r="H316" i="21"/>
  <c r="F31" i="30"/>
  <c r="K517" i="21"/>
  <c r="K516" i="21" s="1"/>
  <c r="K201" i="21"/>
  <c r="L579" i="21"/>
  <c r="L578" i="21" s="1"/>
  <c r="L577" i="21"/>
  <c r="L576" i="21" s="1"/>
  <c r="L575" i="21" s="1"/>
  <c r="I245" i="21"/>
  <c r="I364" i="21"/>
  <c r="I363" i="21" s="1"/>
  <c r="I233" i="32"/>
  <c r="I232" i="32"/>
  <c r="I231" i="32"/>
  <c r="I230" i="32" s="1"/>
  <c r="I229" i="32" s="1"/>
  <c r="I255" i="24"/>
  <c r="I254" i="24"/>
  <c r="I253" i="24" s="1"/>
  <c r="I252" i="24"/>
  <c r="I251" i="24" s="1"/>
  <c r="I321" i="21"/>
  <c r="H77" i="21"/>
  <c r="J31" i="30"/>
  <c r="K31" i="30" s="1"/>
  <c r="K30" i="30" s="1"/>
  <c r="J557" i="21"/>
  <c r="I206" i="24"/>
  <c r="I205" i="24" s="1"/>
  <c r="I204" i="24"/>
  <c r="I203" i="24"/>
  <c r="I126" i="30"/>
  <c r="I185" i="32"/>
  <c r="I184" i="32"/>
  <c r="I183" i="32"/>
  <c r="I182" i="32" s="1"/>
  <c r="H436" i="21"/>
  <c r="I425" i="21"/>
  <c r="I168" i="24"/>
  <c r="I132" i="32"/>
  <c r="I131" i="32" s="1"/>
  <c r="I130" i="32" s="1"/>
  <c r="K308" i="21"/>
  <c r="L463" i="21"/>
  <c r="L462" i="21" s="1"/>
  <c r="L461" i="21" s="1"/>
  <c r="F60" i="32"/>
  <c r="D105" i="21"/>
  <c r="F64" i="17" s="1"/>
  <c r="F63" i="17" s="1"/>
  <c r="D104" i="21"/>
  <c r="I121" i="30"/>
  <c r="J122" i="30"/>
  <c r="J121" i="30" s="1"/>
  <c r="I167" i="17"/>
  <c r="I166" i="17" s="1"/>
  <c r="E128" i="33"/>
  <c r="E129" i="33" s="1"/>
  <c r="I179" i="24"/>
  <c r="I178" i="24" s="1"/>
  <c r="I320" i="21"/>
  <c r="G111" i="29"/>
  <c r="G110" i="29" s="1"/>
  <c r="G109" i="29" s="1"/>
  <c r="H112" i="29"/>
  <c r="E59" i="33"/>
  <c r="E58" i="33" s="1"/>
  <c r="K122" i="30"/>
  <c r="K121" i="30"/>
  <c r="I60" i="32"/>
  <c r="I59" i="32"/>
  <c r="I58" i="32"/>
  <c r="H104" i="21"/>
  <c r="I104" i="21"/>
  <c r="I103" i="21"/>
  <c r="H103" i="21"/>
  <c r="H105" i="21"/>
  <c r="I64" i="17" s="1"/>
  <c r="I63" i="17" s="1"/>
  <c r="I62" i="17"/>
  <c r="E63" i="22"/>
  <c r="H44" i="22"/>
  <c r="D53" i="22"/>
  <c r="E52" i="22"/>
  <c r="E51" i="22" s="1"/>
  <c r="J491" i="21"/>
  <c r="C53" i="31"/>
  <c r="L210" i="21"/>
  <c r="L209" i="21" s="1"/>
  <c r="L208" i="21" s="1"/>
  <c r="J210" i="21"/>
  <c r="J209" i="21" s="1"/>
  <c r="L476" i="21"/>
  <c r="L475" i="21" s="1"/>
  <c r="L474" i="21" s="1"/>
  <c r="I463" i="21"/>
  <c r="I462" i="21"/>
  <c r="I461" i="21" s="1"/>
  <c r="I67" i="30"/>
  <c r="J67" i="30" s="1"/>
  <c r="G67" i="29"/>
  <c r="H67" i="29"/>
  <c r="I61" i="32"/>
  <c r="B142" i="29"/>
  <c r="C168" i="17"/>
  <c r="C216" i="32"/>
  <c r="B137" i="33"/>
  <c r="B124" i="29"/>
  <c r="B123" i="33"/>
  <c r="C198" i="32"/>
  <c r="C154" i="17"/>
  <c r="I592" i="21"/>
  <c r="J30" i="30"/>
  <c r="F216" i="32"/>
  <c r="E142" i="29"/>
  <c r="I30" i="30"/>
  <c r="I531" i="21"/>
  <c r="I530" i="21" s="1"/>
  <c r="I529" i="21" s="1"/>
  <c r="I524" i="21"/>
  <c r="I500" i="21"/>
  <c r="I508" i="21"/>
  <c r="I456" i="21"/>
  <c r="I455" i="21" s="1"/>
  <c r="I454" i="21" s="1"/>
  <c r="I445" i="21"/>
  <c r="I444" i="21" s="1"/>
  <c r="I302" i="21"/>
  <c r="I281" i="21"/>
  <c r="I280" i="21"/>
  <c r="I279" i="21" s="1"/>
  <c r="D266" i="21"/>
  <c r="E64" i="33" s="1"/>
  <c r="D267" i="21"/>
  <c r="E69" i="29" s="1"/>
  <c r="I266" i="21"/>
  <c r="I261" i="21"/>
  <c r="I241" i="21"/>
  <c r="H227" i="21"/>
  <c r="I227" i="21"/>
  <c r="J167" i="21"/>
  <c r="J166" i="21" s="1"/>
  <c r="J165" i="21" s="1"/>
  <c r="I61" i="21"/>
  <c r="I591" i="21"/>
  <c r="I590" i="21" s="1"/>
  <c r="I589" i="21" s="1"/>
  <c r="I507" i="21"/>
  <c r="E68" i="29"/>
  <c r="C49" i="31"/>
  <c r="I240" i="21"/>
  <c r="I60" i="21"/>
  <c r="I59" i="21"/>
  <c r="I550" i="21"/>
  <c r="H550" i="21"/>
  <c r="I68" i="21"/>
  <c r="I67" i="21"/>
  <c r="I208" i="21"/>
  <c r="D375" i="21"/>
  <c r="E94" i="33" s="1"/>
  <c r="D376" i="21"/>
  <c r="E98" i="29" s="1"/>
  <c r="E97" i="29" s="1"/>
  <c r="F160" i="32"/>
  <c r="I273" i="21"/>
  <c r="K74" i="30"/>
  <c r="K73" i="30"/>
  <c r="J73" i="30"/>
  <c r="L289" i="21"/>
  <c r="J543" i="21"/>
  <c r="J536" i="21" s="1"/>
  <c r="K543" i="21"/>
  <c r="I545" i="21"/>
  <c r="I544" i="21"/>
  <c r="H544" i="21" s="1"/>
  <c r="E95" i="33"/>
  <c r="C39" i="31"/>
  <c r="I543" i="21"/>
  <c r="J135" i="32"/>
  <c r="L135" i="32"/>
  <c r="K81" i="32"/>
  <c r="K161" i="32"/>
  <c r="L38" i="17"/>
  <c r="L37" i="17" s="1"/>
  <c r="H106" i="11" s="1"/>
  <c r="J134" i="32"/>
  <c r="J133" i="32" s="1"/>
  <c r="L133" i="32"/>
  <c r="L29" i="32" s="1"/>
  <c r="I255" i="21"/>
  <c r="I226" i="21"/>
  <c r="L30" i="32"/>
  <c r="D38" i="33"/>
  <c r="D39" i="33" s="1"/>
  <c r="D41" i="33" s="1"/>
  <c r="D42" i="33" s="1"/>
  <c r="D43" i="33" s="1"/>
  <c r="D37" i="33"/>
  <c r="C38" i="33"/>
  <c r="C39" i="33"/>
  <c r="C41" i="33"/>
  <c r="C42" i="33" s="1"/>
  <c r="C43" i="33" s="1"/>
  <c r="C37" i="33"/>
  <c r="H66" i="29"/>
  <c r="I67" i="29"/>
  <c r="I66" i="29" s="1"/>
  <c r="K67" i="30"/>
  <c r="K66" i="30" s="1"/>
  <c r="J66" i="30"/>
  <c r="B115" i="33"/>
  <c r="C146" i="17"/>
  <c r="B120" i="29"/>
  <c r="C194" i="32"/>
  <c r="G66" i="29"/>
  <c r="I66" i="30"/>
  <c r="L165" i="21"/>
  <c r="J486" i="21"/>
  <c r="J485" i="21"/>
  <c r="J484" i="21" s="1"/>
  <c r="J483" i="21" s="1"/>
  <c r="G24" i="26"/>
  <c r="J395" i="21"/>
  <c r="J331" i="21"/>
  <c r="J330" i="21" s="1"/>
  <c r="J329" i="21" s="1"/>
  <c r="H332" i="21"/>
  <c r="H331" i="21"/>
  <c r="I137" i="32" s="1"/>
  <c r="J394" i="21"/>
  <c r="I17" i="30"/>
  <c r="G19" i="29"/>
  <c r="I16" i="30"/>
  <c r="E99" i="11"/>
  <c r="E98" i="11"/>
  <c r="G18" i="29"/>
  <c r="I158" i="30"/>
  <c r="I157" i="30" s="1"/>
  <c r="I226" i="32"/>
  <c r="I225" i="32" s="1"/>
  <c r="I248" i="24"/>
  <c r="I247" i="24" s="1"/>
  <c r="H557" i="21"/>
  <c r="H558" i="21"/>
  <c r="G153" i="29"/>
  <c r="G152" i="29" s="1"/>
  <c r="G93" i="22"/>
  <c r="G89" i="22" s="1"/>
  <c r="G88" i="22" s="1"/>
  <c r="D98" i="22"/>
  <c r="J221" i="21"/>
  <c r="J220" i="21"/>
  <c r="H221" i="21"/>
  <c r="I99" i="24"/>
  <c r="I98" i="24" s="1"/>
  <c r="I97" i="24" s="1"/>
  <c r="I80" i="32"/>
  <c r="I79" i="32"/>
  <c r="I78" i="32" s="1"/>
  <c r="I52" i="30"/>
  <c r="H208" i="21"/>
  <c r="I96" i="24"/>
  <c r="I95" i="24" s="1"/>
  <c r="I49" i="30"/>
  <c r="I48" i="30"/>
  <c r="H201" i="21"/>
  <c r="I75" i="32"/>
  <c r="I74" i="17"/>
  <c r="K175" i="21"/>
  <c r="K165" i="21" s="1"/>
  <c r="K158" i="21" s="1"/>
  <c r="H176" i="21"/>
  <c r="I73" i="24"/>
  <c r="I68" i="24"/>
  <c r="H151" i="21"/>
  <c r="I40" i="30"/>
  <c r="J99" i="21"/>
  <c r="J82" i="21" s="1"/>
  <c r="I34" i="30"/>
  <c r="J34" i="30" s="1"/>
  <c r="K34" i="30" s="1"/>
  <c r="I55" i="24"/>
  <c r="I54" i="24"/>
  <c r="I48" i="24"/>
  <c r="I42" i="32"/>
  <c r="I41" i="32" s="1"/>
  <c r="H68" i="21"/>
  <c r="H67" i="21"/>
  <c r="I29" i="30"/>
  <c r="J61" i="21"/>
  <c r="I51" i="30"/>
  <c r="I50" i="30"/>
  <c r="J52" i="30"/>
  <c r="K52" i="30" s="1"/>
  <c r="K51" i="30" s="1"/>
  <c r="K50" i="30" s="1"/>
  <c r="G41" i="33"/>
  <c r="G49" i="29"/>
  <c r="H49" i="29"/>
  <c r="I49" i="29" s="1"/>
  <c r="J40" i="30"/>
  <c r="I39" i="30"/>
  <c r="I32" i="30"/>
  <c r="J60" i="21"/>
  <c r="J59" i="21" s="1"/>
  <c r="J51" i="30"/>
  <c r="J50" i="30" s="1"/>
  <c r="K40" i="30"/>
  <c r="K39" i="30"/>
  <c r="J39" i="30"/>
  <c r="E85" i="33"/>
  <c r="I250" i="24"/>
  <c r="I249" i="24"/>
  <c r="H564" i="21"/>
  <c r="J565" i="21"/>
  <c r="G63" i="22"/>
  <c r="D71" i="22"/>
  <c r="K592" i="21"/>
  <c r="K591" i="21" s="1"/>
  <c r="K590" i="21" s="1"/>
  <c r="J591" i="21"/>
  <c r="J590" i="21" s="1"/>
  <c r="J589" i="21" s="1"/>
  <c r="H592" i="21"/>
  <c r="G163" i="29" s="1"/>
  <c r="I259" i="24"/>
  <c r="I258" i="24" s="1"/>
  <c r="I257" i="24" s="1"/>
  <c r="I256" i="24" s="1"/>
  <c r="H583" i="21"/>
  <c r="I171" i="30" s="1"/>
  <c r="J171" i="30" s="1"/>
  <c r="K171" i="30" s="1"/>
  <c r="K538" i="21"/>
  <c r="K530" i="21"/>
  <c r="K529" i="21" s="1"/>
  <c r="H532" i="21"/>
  <c r="J529" i="21"/>
  <c r="H531" i="21"/>
  <c r="G147" i="29" s="1"/>
  <c r="K506" i="21"/>
  <c r="J524" i="21"/>
  <c r="H525" i="21"/>
  <c r="I217" i="32"/>
  <c r="I216" i="32" s="1"/>
  <c r="I213" i="32" s="1"/>
  <c r="I229" i="24"/>
  <c r="I228" i="24" s="1"/>
  <c r="I227" i="24" s="1"/>
  <c r="I226" i="24" s="1"/>
  <c r="H509" i="21"/>
  <c r="L454" i="21"/>
  <c r="L440" i="21" s="1"/>
  <c r="J461" i="21"/>
  <c r="J456" i="21"/>
  <c r="H456" i="21" s="1"/>
  <c r="H457" i="21"/>
  <c r="K443" i="21"/>
  <c r="K442" i="21" s="1"/>
  <c r="K441" i="21"/>
  <c r="J449" i="21"/>
  <c r="J445" i="21"/>
  <c r="H446" i="21"/>
  <c r="I131" i="30" s="1"/>
  <c r="I130" i="30" s="1"/>
  <c r="K411" i="21"/>
  <c r="J420" i="21"/>
  <c r="H421" i="21"/>
  <c r="I175" i="32"/>
  <c r="I174" i="32"/>
  <c r="H420" i="21"/>
  <c r="I198" i="24"/>
  <c r="I197" i="24"/>
  <c r="I120" i="30"/>
  <c r="J120" i="30" s="1"/>
  <c r="J412" i="21"/>
  <c r="J385" i="21"/>
  <c r="J375" i="21"/>
  <c r="J356" i="21"/>
  <c r="I112" i="17"/>
  <c r="I93" i="30"/>
  <c r="I144" i="24"/>
  <c r="I143" i="24"/>
  <c r="I122" i="32"/>
  <c r="I121" i="32" s="1"/>
  <c r="I78" i="30"/>
  <c r="H302" i="21"/>
  <c r="J302" i="21"/>
  <c r="I136" i="24"/>
  <c r="I135" i="24" s="1"/>
  <c r="I114" i="32"/>
  <c r="I113" i="32" s="1"/>
  <c r="I102" i="32" s="1"/>
  <c r="I99" i="32" s="1"/>
  <c r="H281" i="21"/>
  <c r="J281" i="21"/>
  <c r="J280" i="21" s="1"/>
  <c r="H282" i="21"/>
  <c r="J273" i="21"/>
  <c r="H266" i="21"/>
  <c r="I121" i="24"/>
  <c r="I120" i="24" s="1"/>
  <c r="I69" i="30"/>
  <c r="I68" i="30" s="1"/>
  <c r="I98" i="32"/>
  <c r="I97" i="32" s="1"/>
  <c r="J266" i="21"/>
  <c r="H267" i="21"/>
  <c r="G65" i="33" s="1"/>
  <c r="G64" i="33" s="1"/>
  <c r="H262" i="21"/>
  <c r="J261" i="21"/>
  <c r="I119" i="24"/>
  <c r="I118" i="24" s="1"/>
  <c r="H252" i="21"/>
  <c r="J250" i="21"/>
  <c r="J564" i="21"/>
  <c r="J563" i="21" s="1"/>
  <c r="I160" i="30"/>
  <c r="I159" i="30" s="1"/>
  <c r="I189" i="17"/>
  <c r="I188" i="17"/>
  <c r="I187" i="17" s="1"/>
  <c r="I186" i="17" s="1"/>
  <c r="I243" i="32"/>
  <c r="I242" i="32"/>
  <c r="I241" i="32" s="1"/>
  <c r="I240" i="32"/>
  <c r="I175" i="30"/>
  <c r="I174" i="30" s="1"/>
  <c r="I173" i="30" s="1"/>
  <c r="I172" i="30" s="1"/>
  <c r="K537" i="21"/>
  <c r="H530" i="21"/>
  <c r="G142" i="33"/>
  <c r="G141" i="33" s="1"/>
  <c r="G140" i="33" s="1"/>
  <c r="J523" i="21"/>
  <c r="J455" i="21"/>
  <c r="H455" i="21"/>
  <c r="I195" i="32"/>
  <c r="I194" i="32" s="1"/>
  <c r="H445" i="21"/>
  <c r="J444" i="21"/>
  <c r="I142" i="17"/>
  <c r="I141" i="17" s="1"/>
  <c r="I211" i="24"/>
  <c r="I210" i="24"/>
  <c r="I119" i="30"/>
  <c r="I138" i="17"/>
  <c r="I137" i="17"/>
  <c r="G107" i="33"/>
  <c r="G106" i="33"/>
  <c r="G108" i="29"/>
  <c r="J384" i="21"/>
  <c r="J383" i="21" s="1"/>
  <c r="J355" i="21"/>
  <c r="I92" i="30"/>
  <c r="J93" i="30"/>
  <c r="K93" i="30" s="1"/>
  <c r="K92" i="30" s="1"/>
  <c r="J78" i="30"/>
  <c r="I77" i="30"/>
  <c r="G77" i="29"/>
  <c r="H77" i="29" s="1"/>
  <c r="I98" i="17"/>
  <c r="I97" i="17"/>
  <c r="G71" i="33"/>
  <c r="G70" i="33"/>
  <c r="J69" i="30"/>
  <c r="J68" i="30" s="1"/>
  <c r="I90" i="17"/>
  <c r="I89" i="17" s="1"/>
  <c r="I96" i="32"/>
  <c r="I95" i="32"/>
  <c r="G63" i="33"/>
  <c r="G62" i="33" s="1"/>
  <c r="I92" i="17"/>
  <c r="I91" i="17"/>
  <c r="G71" i="29"/>
  <c r="G70" i="29" s="1"/>
  <c r="H250" i="21"/>
  <c r="I94" i="32"/>
  <c r="I93" i="32" s="1"/>
  <c r="I63" i="30"/>
  <c r="J63" i="30" s="1"/>
  <c r="J175" i="30"/>
  <c r="K175" i="30" s="1"/>
  <c r="K174" i="30" s="1"/>
  <c r="K173" i="30" s="1"/>
  <c r="K172" i="30" s="1"/>
  <c r="K536" i="21"/>
  <c r="G116" i="29"/>
  <c r="H116" i="29" s="1"/>
  <c r="G111" i="33"/>
  <c r="G110" i="33"/>
  <c r="H444" i="21"/>
  <c r="J443" i="21"/>
  <c r="J442" i="21" s="1"/>
  <c r="J441" i="21" s="1"/>
  <c r="H108" i="29"/>
  <c r="G107" i="29"/>
  <c r="K78" i="30"/>
  <c r="K77" i="30" s="1"/>
  <c r="J77" i="30"/>
  <c r="G76" i="29"/>
  <c r="H71" i="29"/>
  <c r="H70" i="29" s="1"/>
  <c r="J174" i="30"/>
  <c r="J173" i="30"/>
  <c r="J172" i="30" s="1"/>
  <c r="G115" i="29"/>
  <c r="I108" i="29"/>
  <c r="I107" i="29" s="1"/>
  <c r="H107" i="29"/>
  <c r="I71" i="29"/>
  <c r="I70" i="29"/>
  <c r="G116" i="33" l="1"/>
  <c r="G115" i="33" s="1"/>
  <c r="G121" i="29"/>
  <c r="H163" i="29"/>
  <c r="G162" i="29"/>
  <c r="G161" i="29" s="1"/>
  <c r="G160" i="29" s="1"/>
  <c r="E125" i="12"/>
  <c r="E124" i="12" s="1"/>
  <c r="J279" i="21"/>
  <c r="H279" i="21" s="1"/>
  <c r="K120" i="30"/>
  <c r="K119" i="30" s="1"/>
  <c r="J119" i="30"/>
  <c r="G146" i="29"/>
  <c r="G145" i="29" s="1"/>
  <c r="H147" i="29"/>
  <c r="H22" i="26"/>
  <c r="G23" i="26"/>
  <c r="G38" i="29"/>
  <c r="H38" i="29" s="1"/>
  <c r="I38" i="29" s="1"/>
  <c r="G32" i="33"/>
  <c r="I60" i="17"/>
  <c r="I56" i="32"/>
  <c r="K589" i="21"/>
  <c r="H589" i="21" s="1"/>
  <c r="H590" i="21"/>
  <c r="E38" i="34" s="1"/>
  <c r="E37" i="34" s="1"/>
  <c r="K68" i="21"/>
  <c r="K67" i="21" s="1"/>
  <c r="K66" i="21" s="1"/>
  <c r="H69" i="21"/>
  <c r="J43" i="30"/>
  <c r="J32" i="30"/>
  <c r="K33" i="30"/>
  <c r="K32" i="30" s="1"/>
  <c r="E102" i="22"/>
  <c r="G120" i="33"/>
  <c r="G119" i="33" s="1"/>
  <c r="I151" i="17"/>
  <c r="I150" i="17" s="1"/>
  <c r="H508" i="21"/>
  <c r="J507" i="21"/>
  <c r="K63" i="30"/>
  <c r="K62" i="30" s="1"/>
  <c r="J62" i="30"/>
  <c r="K528" i="21"/>
  <c r="H529" i="21"/>
  <c r="E33" i="34" s="1"/>
  <c r="F106" i="11"/>
  <c r="J190" i="17"/>
  <c r="D213" i="12" s="1"/>
  <c r="D210" i="12" s="1"/>
  <c r="D196" i="12" s="1"/>
  <c r="D174" i="12" s="1"/>
  <c r="H115" i="29"/>
  <c r="I116" i="29"/>
  <c r="I115" i="29" s="1"/>
  <c r="I77" i="29"/>
  <c r="I76" i="29" s="1"/>
  <c r="H76" i="29"/>
  <c r="J562" i="21"/>
  <c r="J535" i="21" s="1"/>
  <c r="J528" i="21" s="1"/>
  <c r="H563" i="21"/>
  <c r="I66" i="21"/>
  <c r="I58" i="21" s="1"/>
  <c r="I209" i="32"/>
  <c r="K190" i="17"/>
  <c r="E213" i="12" s="1"/>
  <c r="E210" i="12" s="1"/>
  <c r="E196" i="12" s="1"/>
  <c r="E174" i="12" s="1"/>
  <c r="G106" i="11"/>
  <c r="H66" i="21"/>
  <c r="E14" i="34" s="1"/>
  <c r="L275" i="21"/>
  <c r="L274" i="21" s="1"/>
  <c r="H276" i="21"/>
  <c r="H275" i="21" s="1"/>
  <c r="H273" i="21" s="1"/>
  <c r="L177" i="24"/>
  <c r="L160" i="24" s="1"/>
  <c r="L159" i="24" s="1"/>
  <c r="E19" i="20"/>
  <c r="E35" i="20" s="1"/>
  <c r="H21" i="11"/>
  <c r="H387" i="21"/>
  <c r="I386" i="21"/>
  <c r="J321" i="21"/>
  <c r="J320" i="21" s="1"/>
  <c r="H322" i="21"/>
  <c r="I27" i="21"/>
  <c r="H28" i="21"/>
  <c r="I25" i="32" s="1"/>
  <c r="I24" i="32" s="1"/>
  <c r="G158" i="33"/>
  <c r="G157" i="33" s="1"/>
  <c r="G156" i="33" s="1"/>
  <c r="G155" i="33" s="1"/>
  <c r="G19" i="22"/>
  <c r="G102" i="22" s="1"/>
  <c r="I147" i="30"/>
  <c r="H100" i="21"/>
  <c r="K149" i="30"/>
  <c r="K148" i="30" s="1"/>
  <c r="J148" i="30"/>
  <c r="L9" i="21"/>
  <c r="L8" i="21" s="1"/>
  <c r="L30" i="21" s="1"/>
  <c r="I414" i="21"/>
  <c r="H415" i="21"/>
  <c r="K364" i="21"/>
  <c r="H365" i="21"/>
  <c r="G127" i="29"/>
  <c r="H468" i="21"/>
  <c r="J214" i="24"/>
  <c r="J207" i="24" s="1"/>
  <c r="D37" i="20"/>
  <c r="D36" i="20" s="1"/>
  <c r="G13" i="20"/>
  <c r="G10" i="20" s="1"/>
  <c r="G35" i="20" s="1"/>
  <c r="F10" i="20"/>
  <c r="F35" i="20" s="1"/>
  <c r="I88" i="30"/>
  <c r="I158" i="24"/>
  <c r="I157" i="24" s="1"/>
  <c r="I156" i="24" s="1"/>
  <c r="I82" i="21"/>
  <c r="H82" i="21" s="1"/>
  <c r="H83" i="21"/>
  <c r="E96" i="11"/>
  <c r="D95" i="22"/>
  <c r="D94" i="22" s="1"/>
  <c r="D93" i="22" s="1"/>
  <c r="J12" i="21"/>
  <c r="H13" i="21"/>
  <c r="I22" i="32" s="1"/>
  <c r="I189" i="21"/>
  <c r="H189" i="21" s="1"/>
  <c r="I188" i="21"/>
  <c r="D245" i="21"/>
  <c r="D246" i="21"/>
  <c r="I92" i="32"/>
  <c r="I91" i="32" s="1"/>
  <c r="H245" i="21"/>
  <c r="K397" i="21"/>
  <c r="H398" i="21"/>
  <c r="H542" i="21"/>
  <c r="H540" i="21" s="1"/>
  <c r="I540" i="21"/>
  <c r="I539" i="21" s="1"/>
  <c r="L255" i="21"/>
  <c r="H256" i="21"/>
  <c r="G65" i="29" s="1"/>
  <c r="I62" i="30"/>
  <c r="J92" i="30"/>
  <c r="J516" i="21"/>
  <c r="G69" i="29"/>
  <c r="J76" i="30"/>
  <c r="I190" i="32"/>
  <c r="I189" i="32" s="1"/>
  <c r="H484" i="21"/>
  <c r="I173" i="17"/>
  <c r="I172" i="17" s="1"/>
  <c r="I171" i="17" s="1"/>
  <c r="H591" i="21"/>
  <c r="I163" i="24"/>
  <c r="I162" i="24" s="1"/>
  <c r="G85" i="33"/>
  <c r="J466" i="21"/>
  <c r="I243" i="24"/>
  <c r="I242" i="24" s="1"/>
  <c r="I241" i="24" s="1"/>
  <c r="I153" i="30"/>
  <c r="I152" i="30" s="1"/>
  <c r="I151" i="30" s="1"/>
  <c r="I92" i="24"/>
  <c r="J208" i="21"/>
  <c r="L190" i="17"/>
  <c r="F213" i="12" s="1"/>
  <c r="F210" i="12" s="1"/>
  <c r="F196" i="12" s="1"/>
  <c r="F174" i="12" s="1"/>
  <c r="H545" i="21"/>
  <c r="D52" i="22"/>
  <c r="D51" i="22" s="1"/>
  <c r="J81" i="30"/>
  <c r="J80" i="30" s="1"/>
  <c r="I165" i="17"/>
  <c r="E117" i="33"/>
  <c r="E118" i="33" s="1"/>
  <c r="D461" i="21"/>
  <c r="L58" i="21"/>
  <c r="L57" i="21" s="1"/>
  <c r="L109" i="21" s="1"/>
  <c r="J158" i="21"/>
  <c r="J157" i="21" s="1"/>
  <c r="J150" i="21" s="1"/>
  <c r="J149" i="21" s="1"/>
  <c r="E89" i="22"/>
  <c r="E88" i="22" s="1"/>
  <c r="I434" i="21"/>
  <c r="H434" i="21" s="1"/>
  <c r="H435" i="21"/>
  <c r="K227" i="21"/>
  <c r="H228" i="21"/>
  <c r="I151" i="21"/>
  <c r="H152" i="21"/>
  <c r="H184" i="21"/>
  <c r="L67" i="21"/>
  <c r="L66" i="21" s="1"/>
  <c r="K401" i="21"/>
  <c r="H402" i="21"/>
  <c r="I113" i="30"/>
  <c r="H401" i="21"/>
  <c r="I123" i="32"/>
  <c r="I395" i="21"/>
  <c r="I164" i="17"/>
  <c r="I163" i="17" s="1"/>
  <c r="I162" i="17" s="1"/>
  <c r="G138" i="29"/>
  <c r="I523" i="21"/>
  <c r="H524" i="21"/>
  <c r="I112" i="29"/>
  <c r="I111" i="29" s="1"/>
  <c r="I110" i="29" s="1"/>
  <c r="I109" i="29" s="1"/>
  <c r="H111" i="29"/>
  <c r="H110" i="29" s="1"/>
  <c r="H109" i="29" s="1"/>
  <c r="H320" i="21"/>
  <c r="E22" i="34" s="1"/>
  <c r="I308" i="21"/>
  <c r="J126" i="30"/>
  <c r="I125" i="30"/>
  <c r="I124" i="30" s="1"/>
  <c r="I123" i="30" s="1"/>
  <c r="H321" i="21"/>
  <c r="H99" i="21"/>
  <c r="F44" i="22"/>
  <c r="F19" i="22" s="1"/>
  <c r="F102" i="22" s="1"/>
  <c r="E33" i="11"/>
  <c r="H6" i="26"/>
  <c r="G6" i="26" s="1"/>
  <c r="B45" i="20"/>
  <c r="B37" i="20"/>
  <c r="B36" i="20" s="1"/>
  <c r="J425" i="21"/>
  <c r="J411" i="21" s="1"/>
  <c r="H426" i="21"/>
  <c r="L302" i="21"/>
  <c r="L280" i="21" s="1"/>
  <c r="L279" i="21" s="1"/>
  <c r="H303" i="21"/>
  <c r="I357" i="21"/>
  <c r="H361" i="21"/>
  <c r="H17" i="21"/>
  <c r="J16" i="21"/>
  <c r="J15" i="21" s="1"/>
  <c r="J245" i="21"/>
  <c r="J226" i="21" s="1"/>
  <c r="H246" i="21"/>
  <c r="K69" i="30"/>
  <c r="K68" i="30" s="1"/>
  <c r="I56" i="30"/>
  <c r="J57" i="30"/>
  <c r="H452" i="21"/>
  <c r="I451" i="21"/>
  <c r="H4" i="26"/>
  <c r="E25" i="11"/>
  <c r="E24" i="11" s="1"/>
  <c r="D22" i="22"/>
  <c r="D89" i="22"/>
  <c r="D88" i="22" s="1"/>
  <c r="D80" i="22"/>
  <c r="E82" i="11"/>
  <c r="E81" i="11" s="1"/>
  <c r="E80" i="11" s="1"/>
  <c r="D37" i="22"/>
  <c r="J45" i="26"/>
  <c r="F45" i="11"/>
  <c r="F21" i="11" s="1"/>
  <c r="F104" i="11" s="1"/>
  <c r="D165" i="12" s="1"/>
  <c r="D162" i="12" s="1"/>
  <c r="D148" i="12" s="1"/>
  <c r="D126" i="12" s="1"/>
  <c r="D125" i="12" s="1"/>
  <c r="D124" i="12" s="1"/>
  <c r="H159" i="21"/>
  <c r="J77" i="21"/>
  <c r="J67" i="21" s="1"/>
  <c r="J66" i="21" s="1"/>
  <c r="J58" i="21" s="1"/>
  <c r="J57" i="21" s="1"/>
  <c r="J109" i="21" s="1"/>
  <c r="H78" i="21"/>
  <c r="K61" i="21"/>
  <c r="H62" i="21"/>
  <c r="I221" i="21"/>
  <c r="I220" i="21" s="1"/>
  <c r="H220" i="21" s="1"/>
  <c r="E16" i="34" s="1"/>
  <c r="H222" i="21"/>
  <c r="K10" i="21"/>
  <c r="K9" i="21"/>
  <c r="K8" i="21" s="1"/>
  <c r="K30" i="21" s="1"/>
  <c r="A461" i="21"/>
  <c r="B117" i="33"/>
  <c r="J131" i="30"/>
  <c r="G133" i="33"/>
  <c r="G132" i="33" s="1"/>
  <c r="G131" i="33" s="1"/>
  <c r="I239" i="32"/>
  <c r="H251" i="21"/>
  <c r="H330" i="21"/>
  <c r="H376" i="21"/>
  <c r="H485" i="21"/>
  <c r="I228" i="32"/>
  <c r="I227" i="32" s="1"/>
  <c r="H562" i="21"/>
  <c r="J29" i="30"/>
  <c r="I28" i="30"/>
  <c r="I27" i="30" s="1"/>
  <c r="I26" i="30" s="1"/>
  <c r="I94" i="24"/>
  <c r="I179" i="17"/>
  <c r="I178" i="17" s="1"/>
  <c r="G148" i="33"/>
  <c r="G147" i="33" s="1"/>
  <c r="C117" i="33"/>
  <c r="C118" i="33" s="1"/>
  <c r="M190" i="17"/>
  <c r="G213" i="12" s="1"/>
  <c r="G210" i="12" s="1"/>
  <c r="G196" i="12" s="1"/>
  <c r="G174" i="12" s="1"/>
  <c r="H543" i="21"/>
  <c r="F59" i="32"/>
  <c r="C20" i="31"/>
  <c r="I81" i="30"/>
  <c r="I80" i="30" s="1"/>
  <c r="I60" i="30"/>
  <c r="J61" i="30"/>
  <c r="I493" i="21"/>
  <c r="H27" i="26"/>
  <c r="L33" i="24"/>
  <c r="M33" i="24"/>
  <c r="I83" i="32"/>
  <c r="I82" i="32" s="1"/>
  <c r="I55" i="30"/>
  <c r="I102" i="24"/>
  <c r="I101" i="24" s="1"/>
  <c r="C52" i="31"/>
  <c r="G141" i="29"/>
  <c r="G136" i="33"/>
  <c r="G135" i="33" s="1"/>
  <c r="I88" i="32"/>
  <c r="E126" i="33"/>
  <c r="E127" i="33" s="1"/>
  <c r="C48" i="31"/>
  <c r="E129" i="29"/>
  <c r="E128" i="29" s="1"/>
  <c r="D21" i="22"/>
  <c r="I292" i="21"/>
  <c r="E74" i="11"/>
  <c r="E73" i="11" s="1"/>
  <c r="E72" i="11" s="1"/>
  <c r="H43" i="26"/>
  <c r="G43" i="26" s="1"/>
  <c r="D72" i="22"/>
  <c r="H63" i="22"/>
  <c r="H19" i="22" s="1"/>
  <c r="H102" i="22" s="1"/>
  <c r="H15" i="26"/>
  <c r="G17" i="26"/>
  <c r="H16" i="26"/>
  <c r="G16" i="26" s="1"/>
  <c r="I64" i="11"/>
  <c r="G17" i="29"/>
  <c r="I15" i="30"/>
  <c r="I181" i="32"/>
  <c r="I180" i="32" s="1"/>
  <c r="I202" i="24"/>
  <c r="I201" i="24" s="1"/>
  <c r="K150" i="30"/>
  <c r="J154" i="30"/>
  <c r="J150" i="30" s="1"/>
  <c r="D518" i="21"/>
  <c r="E141" i="29" s="1"/>
  <c r="E140" i="29" s="1"/>
  <c r="F215" i="32"/>
  <c r="I156" i="32"/>
  <c r="I155" i="32" s="1"/>
  <c r="I102" i="30"/>
  <c r="H18" i="26"/>
  <c r="G18" i="26" s="1"/>
  <c r="G19" i="26"/>
  <c r="F89" i="22"/>
  <c r="F88" i="22" s="1"/>
  <c r="I408" i="21"/>
  <c r="H409" i="21"/>
  <c r="K234" i="21"/>
  <c r="K233" i="21" s="1"/>
  <c r="H235" i="21"/>
  <c r="H234" i="21" s="1"/>
  <c r="H233" i="21" s="1"/>
  <c r="J310" i="21"/>
  <c r="H311" i="21"/>
  <c r="F170" i="32"/>
  <c r="F169" i="32" s="1"/>
  <c r="D407" i="21"/>
  <c r="E104" i="29" s="1"/>
  <c r="E103" i="29" s="1"/>
  <c r="D406" i="21"/>
  <c r="I152" i="24"/>
  <c r="J194" i="24"/>
  <c r="J160" i="24" s="1"/>
  <c r="J159" i="24" s="1"/>
  <c r="J32" i="24" s="1"/>
  <c r="D69" i="22"/>
  <c r="E70" i="11" s="1"/>
  <c r="I89" i="11"/>
  <c r="I88" i="11" s="1"/>
  <c r="I21" i="11"/>
  <c r="I104" i="11" s="1"/>
  <c r="G165" i="12" s="1"/>
  <c r="G162" i="12" s="1"/>
  <c r="G148" i="12" s="1"/>
  <c r="G126" i="12" s="1"/>
  <c r="G125" i="12" s="1"/>
  <c r="G124" i="12" s="1"/>
  <c r="I341" i="21"/>
  <c r="H342" i="21"/>
  <c r="J583" i="21"/>
  <c r="J579" i="21" s="1"/>
  <c r="J578" i="21" s="1"/>
  <c r="J577" i="21" s="1"/>
  <c r="J576" i="21" s="1"/>
  <c r="J575" i="21" s="1"/>
  <c r="K210" i="21"/>
  <c r="K209" i="21" s="1"/>
  <c r="K208" i="21" s="1"/>
  <c r="K157" i="21" s="1"/>
  <c r="K150" i="21" s="1"/>
  <c r="L158" i="21"/>
  <c r="L157" i="21" s="1"/>
  <c r="L150" i="21" s="1"/>
  <c r="H580" i="21"/>
  <c r="H552" i="21"/>
  <c r="M177" i="24"/>
  <c r="M160" i="24" s="1"/>
  <c r="M159" i="24" s="1"/>
  <c r="D44" i="22"/>
  <c r="D41" i="22"/>
  <c r="D40" i="22" s="1"/>
  <c r="H93" i="11"/>
  <c r="H89" i="11" s="1"/>
  <c r="H88" i="11" s="1"/>
  <c r="F89" i="11"/>
  <c r="F88" i="11" s="1"/>
  <c r="F64" i="11"/>
  <c r="I579" i="21"/>
  <c r="J477" i="21"/>
  <c r="J476" i="21" s="1"/>
  <c r="J475" i="21" s="1"/>
  <c r="K242" i="21"/>
  <c r="H243" i="21"/>
  <c r="I168" i="21"/>
  <c r="H170" i="21"/>
  <c r="I172" i="21"/>
  <c r="H172" i="21" s="1"/>
  <c r="H174" i="21"/>
  <c r="H465" i="21"/>
  <c r="G123" i="29" s="1"/>
  <c r="K464" i="21"/>
  <c r="K463" i="21" s="1"/>
  <c r="K462" i="21" s="1"/>
  <c r="K494" i="21"/>
  <c r="K493" i="21" s="1"/>
  <c r="K492" i="21" s="1"/>
  <c r="K491" i="21" s="1"/>
  <c r="K490" i="21" s="1"/>
  <c r="H496" i="21"/>
  <c r="H494" i="21" s="1"/>
  <c r="J503" i="21"/>
  <c r="H505" i="21"/>
  <c r="H306" i="21"/>
  <c r="H259" i="21"/>
  <c r="H258" i="21" s="1"/>
  <c r="H257" i="21" s="1"/>
  <c r="K154" i="30"/>
  <c r="M30" i="32"/>
  <c r="J81" i="32"/>
  <c r="I16" i="21"/>
  <c r="H477" i="21"/>
  <c r="H476" i="21" s="1"/>
  <c r="L329" i="21"/>
  <c r="L328" i="21" s="1"/>
  <c r="L327" i="21" s="1"/>
  <c r="L326" i="21" s="1"/>
  <c r="K30" i="32"/>
  <c r="K29" i="32" s="1"/>
  <c r="J373" i="21"/>
  <c r="J372" i="21" s="1"/>
  <c r="J371" i="21" s="1"/>
  <c r="J363" i="21" s="1"/>
  <c r="H374" i="21"/>
  <c r="H373" i="21" s="1"/>
  <c r="H372" i="21" s="1"/>
  <c r="H348" i="21"/>
  <c r="J347" i="21"/>
  <c r="H378" i="21"/>
  <c r="H377" i="21" s="1"/>
  <c r="J40" i="32"/>
  <c r="J39" i="32" s="1"/>
  <c r="J30" i="32" s="1"/>
  <c r="J29" i="32" s="1"/>
  <c r="K171" i="32"/>
  <c r="K134" i="32" s="1"/>
  <c r="K133" i="32" s="1"/>
  <c r="M154" i="32"/>
  <c r="M134" i="32" s="1"/>
  <c r="M133" i="32" s="1"/>
  <c r="I16" i="29"/>
  <c r="I14" i="29" s="1"/>
  <c r="H14" i="29"/>
  <c r="H464" i="21"/>
  <c r="H463" i="21" s="1"/>
  <c r="I197" i="32" s="1"/>
  <c r="I196" i="32" s="1"/>
  <c r="H17" i="28" l="1"/>
  <c r="H108" i="22"/>
  <c r="H107" i="22" s="1"/>
  <c r="H106" i="22" s="1"/>
  <c r="H105" i="22" s="1"/>
  <c r="I193" i="32"/>
  <c r="I57" i="21"/>
  <c r="I340" i="21"/>
  <c r="H341" i="21"/>
  <c r="I85" i="32"/>
  <c r="I84" i="32" s="1"/>
  <c r="H232" i="21"/>
  <c r="I104" i="24"/>
  <c r="I103" i="24" s="1"/>
  <c r="J102" i="30"/>
  <c r="I101" i="30"/>
  <c r="E23" i="11"/>
  <c r="J60" i="30"/>
  <c r="K61" i="30"/>
  <c r="K60" i="30" s="1"/>
  <c r="G73" i="33"/>
  <c r="G72" i="33" s="1"/>
  <c r="G69" i="33" s="1"/>
  <c r="G68" i="33" s="1"/>
  <c r="G79" i="29"/>
  <c r="I100" i="17"/>
  <c r="I99" i="17" s="1"/>
  <c r="I96" i="17" s="1"/>
  <c r="I95" i="17" s="1"/>
  <c r="I394" i="21"/>
  <c r="I155" i="17"/>
  <c r="I154" i="17" s="1"/>
  <c r="G124" i="33"/>
  <c r="G123" i="33" s="1"/>
  <c r="G125" i="29"/>
  <c r="F86" i="17"/>
  <c r="E61" i="29"/>
  <c r="G31" i="33"/>
  <c r="G37" i="29"/>
  <c r="I55" i="32"/>
  <c r="I59" i="17"/>
  <c r="I58" i="17" s="1"/>
  <c r="G108" i="22"/>
  <c r="G107" i="22" s="1"/>
  <c r="G106" i="22" s="1"/>
  <c r="G105" i="22" s="1"/>
  <c r="G17" i="28"/>
  <c r="E108" i="22"/>
  <c r="E17" i="28"/>
  <c r="D102" i="22"/>
  <c r="G120" i="29"/>
  <c r="H121" i="29"/>
  <c r="M29" i="32"/>
  <c r="M246" i="32" s="1"/>
  <c r="J474" i="21"/>
  <c r="H475" i="21"/>
  <c r="L32" i="24"/>
  <c r="I111" i="17"/>
  <c r="I110" i="17" s="1"/>
  <c r="G84" i="33"/>
  <c r="G83" i="33" s="1"/>
  <c r="G90" i="29"/>
  <c r="K396" i="21"/>
  <c r="H397" i="21"/>
  <c r="H12" i="21"/>
  <c r="J11" i="21"/>
  <c r="J10" i="21" s="1"/>
  <c r="J9" i="21" s="1"/>
  <c r="J8" i="21" s="1"/>
  <c r="J30" i="21" s="1"/>
  <c r="F37" i="20"/>
  <c r="F36" i="20" s="1"/>
  <c r="F45" i="20"/>
  <c r="I216" i="24"/>
  <c r="I215" i="24" s="1"/>
  <c r="I214" i="24" s="1"/>
  <c r="H466" i="21"/>
  <c r="I136" i="30"/>
  <c r="I203" i="32"/>
  <c r="I202" i="32" s="1"/>
  <c r="G80" i="33"/>
  <c r="G79" i="33" s="1"/>
  <c r="G78" i="33" s="1"/>
  <c r="I107" i="17"/>
  <c r="I106" i="17" s="1"/>
  <c r="I105" i="17" s="1"/>
  <c r="G86" i="29"/>
  <c r="H104" i="11"/>
  <c r="F165" i="12" s="1"/>
  <c r="F162" i="12" s="1"/>
  <c r="F148" i="12" s="1"/>
  <c r="F126" i="12" s="1"/>
  <c r="F125" i="12" s="1"/>
  <c r="F124" i="12" s="1"/>
  <c r="H329" i="21"/>
  <c r="K43" i="30"/>
  <c r="H280" i="21"/>
  <c r="E19" i="34" s="1"/>
  <c r="E18" i="34" s="1"/>
  <c r="I181" i="24"/>
  <c r="I180" i="24" s="1"/>
  <c r="I177" i="24" s="1"/>
  <c r="I104" i="30"/>
  <c r="H371" i="21"/>
  <c r="I158" i="32"/>
  <c r="I157" i="32" s="1"/>
  <c r="I154" i="32" s="1"/>
  <c r="I122" i="17"/>
  <c r="I121" i="17" s="1"/>
  <c r="I153" i="17"/>
  <c r="I152" i="17" s="1"/>
  <c r="H474" i="21"/>
  <c r="I201" i="32" s="1"/>
  <c r="I200" i="32" s="1"/>
  <c r="I138" i="30"/>
  <c r="I220" i="24"/>
  <c r="I219" i="24" s="1"/>
  <c r="J502" i="21"/>
  <c r="J501" i="21" s="1"/>
  <c r="H503" i="21"/>
  <c r="H502" i="21" s="1"/>
  <c r="G122" i="29"/>
  <c r="H123" i="29"/>
  <c r="I167" i="21"/>
  <c r="H168" i="21"/>
  <c r="H579" i="21"/>
  <c r="I578" i="21"/>
  <c r="I170" i="30"/>
  <c r="I238" i="32"/>
  <c r="I237" i="32" s="1"/>
  <c r="I236" i="32" s="1"/>
  <c r="I235" i="32" s="1"/>
  <c r="I234" i="32" s="1"/>
  <c r="I104" i="17"/>
  <c r="I103" i="17" s="1"/>
  <c r="I102" i="17" s="1"/>
  <c r="I101" i="17" s="1"/>
  <c r="G83" i="29"/>
  <c r="G77" i="33"/>
  <c r="G76" i="33" s="1"/>
  <c r="G75" i="33" s="1"/>
  <c r="H14" i="26"/>
  <c r="G14" i="26" s="1"/>
  <c r="G15" i="26"/>
  <c r="D455" i="21"/>
  <c r="D460" i="21"/>
  <c r="G140" i="29"/>
  <c r="H141" i="29"/>
  <c r="J55" i="30"/>
  <c r="I54" i="30"/>
  <c r="H26" i="26"/>
  <c r="G26" i="26" s="1"/>
  <c r="G27" i="26"/>
  <c r="I88" i="17"/>
  <c r="I87" i="17" s="1"/>
  <c r="G63" i="29"/>
  <c r="G61" i="33"/>
  <c r="G60" i="33" s="1"/>
  <c r="G54" i="29"/>
  <c r="I79" i="17"/>
  <c r="I78" i="17" s="1"/>
  <c r="I77" i="17" s="1"/>
  <c r="G52" i="33"/>
  <c r="G51" i="33" s="1"/>
  <c r="G50" i="33" s="1"/>
  <c r="I49" i="32"/>
  <c r="I43" i="32" s="1"/>
  <c r="I40" i="32" s="1"/>
  <c r="G35" i="29"/>
  <c r="I52" i="17"/>
  <c r="G29" i="33"/>
  <c r="G28" i="33" s="1"/>
  <c r="G61" i="29"/>
  <c r="I86" i="17"/>
  <c r="I85" i="17" s="1"/>
  <c r="G59" i="33"/>
  <c r="G58" i="33" s="1"/>
  <c r="J125" i="30"/>
  <c r="J124" i="30" s="1"/>
  <c r="J123" i="30" s="1"/>
  <c r="K126" i="30"/>
  <c r="K125" i="30" s="1"/>
  <c r="K124" i="30" s="1"/>
  <c r="K123" i="30" s="1"/>
  <c r="I161" i="17"/>
  <c r="I82" i="17"/>
  <c r="I81" i="17" s="1"/>
  <c r="G55" i="33"/>
  <c r="G54" i="33" s="1"/>
  <c r="G57" i="29"/>
  <c r="D465" i="21"/>
  <c r="D464" i="21" s="1"/>
  <c r="D463" i="21" s="1"/>
  <c r="F148" i="17"/>
  <c r="F196" i="32"/>
  <c r="J75" i="30"/>
  <c r="J72" i="30" s="1"/>
  <c r="J71" i="30" s="1"/>
  <c r="J70" i="30" s="1"/>
  <c r="K76" i="30"/>
  <c r="K75" i="30" s="1"/>
  <c r="K72" i="30" s="1"/>
  <c r="K71" i="30" s="1"/>
  <c r="K70" i="30" s="1"/>
  <c r="I538" i="21"/>
  <c r="H539" i="21"/>
  <c r="H188" i="21"/>
  <c r="I187" i="21"/>
  <c r="H187" i="21" s="1"/>
  <c r="G37" i="20"/>
  <c r="G36" i="20" s="1"/>
  <c r="G45" i="20"/>
  <c r="H127" i="29"/>
  <c r="G126" i="29"/>
  <c r="I413" i="21"/>
  <c r="H414" i="21"/>
  <c r="E37" i="20"/>
  <c r="E36" i="20" s="1"/>
  <c r="E45" i="20"/>
  <c r="L273" i="21"/>
  <c r="L226" i="21" s="1"/>
  <c r="L149" i="21" s="1"/>
  <c r="L148" i="21" s="1"/>
  <c r="L598" i="21" s="1"/>
  <c r="L601" i="21" s="1"/>
  <c r="H274" i="21"/>
  <c r="D63" i="22"/>
  <c r="E64" i="11" s="1"/>
  <c r="I147" i="29"/>
  <c r="I146" i="29" s="1"/>
  <c r="I145" i="29" s="1"/>
  <c r="I144" i="29" s="1"/>
  <c r="H146" i="29"/>
  <c r="H145" i="29" s="1"/>
  <c r="H144" i="29" s="1"/>
  <c r="J346" i="21"/>
  <c r="H347" i="21"/>
  <c r="K241" i="21"/>
  <c r="H242" i="21"/>
  <c r="H408" i="21"/>
  <c r="I407" i="21"/>
  <c r="M32" i="24"/>
  <c r="K29" i="30"/>
  <c r="K28" i="30" s="1"/>
  <c r="K27" i="30" s="1"/>
  <c r="K26" i="30" s="1"/>
  <c r="J28" i="30"/>
  <c r="J27" i="30" s="1"/>
  <c r="J26" i="30" s="1"/>
  <c r="I124" i="17"/>
  <c r="I123" i="17" s="1"/>
  <c r="G95" i="33"/>
  <c r="G94" i="33" s="1"/>
  <c r="G98" i="29"/>
  <c r="G30" i="29"/>
  <c r="I25" i="30"/>
  <c r="I71" i="17"/>
  <c r="I72" i="32"/>
  <c r="G46" i="29"/>
  <c r="G38" i="33"/>
  <c r="G4" i="26"/>
  <c r="H45" i="26"/>
  <c r="F17" i="28"/>
  <c r="F108" i="22"/>
  <c r="F107" i="22" s="1"/>
  <c r="F106" i="22" s="1"/>
  <c r="F105" i="22" s="1"/>
  <c r="I516" i="21"/>
  <c r="H523" i="21"/>
  <c r="I131" i="17"/>
  <c r="I130" i="17" s="1"/>
  <c r="G101" i="33"/>
  <c r="G100" i="33" s="1"/>
  <c r="G36" i="33"/>
  <c r="G35" i="33" s="1"/>
  <c r="G44" i="29"/>
  <c r="I69" i="17"/>
  <c r="I68" i="17" s="1"/>
  <c r="I70" i="32"/>
  <c r="I69" i="32" s="1"/>
  <c r="H65" i="29"/>
  <c r="G64" i="29"/>
  <c r="I21" i="32"/>
  <c r="I20" i="32" s="1"/>
  <c r="I19" i="32" s="1"/>
  <c r="I87" i="30"/>
  <c r="I86" i="30" s="1"/>
  <c r="I79" i="30" s="1"/>
  <c r="J88" i="30"/>
  <c r="K363" i="21"/>
  <c r="H364" i="21"/>
  <c r="J506" i="21"/>
  <c r="H507" i="21"/>
  <c r="E30" i="34" s="1"/>
  <c r="K461" i="21"/>
  <c r="H462" i="21"/>
  <c r="G118" i="33" s="1"/>
  <c r="G117" i="33" s="1"/>
  <c r="G134" i="33"/>
  <c r="G130" i="33" s="1"/>
  <c r="G151" i="29"/>
  <c r="I224" i="32"/>
  <c r="I177" i="17"/>
  <c r="G146" i="33"/>
  <c r="K131" i="30"/>
  <c r="K130" i="30" s="1"/>
  <c r="J130" i="30"/>
  <c r="K60" i="21"/>
  <c r="H61" i="21"/>
  <c r="I450" i="21"/>
  <c r="H451" i="21"/>
  <c r="G137" i="29"/>
  <c r="H138" i="29"/>
  <c r="F85" i="17"/>
  <c r="E60" i="29"/>
  <c r="I183" i="24"/>
  <c r="I182" i="24" s="1"/>
  <c r="I106" i="30"/>
  <c r="H375" i="21"/>
  <c r="I160" i="32"/>
  <c r="I159" i="32" s="1"/>
  <c r="H16" i="21"/>
  <c r="I23" i="32" s="1"/>
  <c r="I15" i="21"/>
  <c r="H255" i="21"/>
  <c r="I65" i="30"/>
  <c r="C43" i="31"/>
  <c r="E102" i="33"/>
  <c r="E103" i="33" s="1"/>
  <c r="J309" i="21"/>
  <c r="H310" i="21"/>
  <c r="I291" i="21"/>
  <c r="H292" i="21"/>
  <c r="D489" i="21"/>
  <c r="D488" i="21"/>
  <c r="D487" i="21" s="1"/>
  <c r="D486" i="21" s="1"/>
  <c r="D485" i="21" s="1"/>
  <c r="D483" i="21"/>
  <c r="I492" i="21"/>
  <c r="H493" i="21"/>
  <c r="I199" i="32"/>
  <c r="I198" i="32" s="1"/>
  <c r="H483" i="21"/>
  <c r="C148" i="17"/>
  <c r="C196" i="32"/>
  <c r="B122" i="29"/>
  <c r="J56" i="30"/>
  <c r="K57" i="30"/>
  <c r="K56" i="30" s="1"/>
  <c r="I356" i="21"/>
  <c r="H357" i="21"/>
  <c r="G33" i="33"/>
  <c r="G39" i="29"/>
  <c r="H39" i="29" s="1"/>
  <c r="I39" i="29" s="1"/>
  <c r="I61" i="17"/>
  <c r="I57" i="32"/>
  <c r="G138" i="33"/>
  <c r="G137" i="33" s="1"/>
  <c r="G143" i="29"/>
  <c r="J113" i="30"/>
  <c r="I112" i="30"/>
  <c r="J454" i="21"/>
  <c r="G68" i="29"/>
  <c r="H69" i="29"/>
  <c r="E95" i="11"/>
  <c r="E94" i="11" s="1"/>
  <c r="E93" i="11" s="1"/>
  <c r="G16" i="29"/>
  <c r="G14" i="29" s="1"/>
  <c r="I14" i="30"/>
  <c r="I12" i="30" s="1"/>
  <c r="I120" i="17"/>
  <c r="I119" i="17" s="1"/>
  <c r="G93" i="33"/>
  <c r="G92" i="33" s="1"/>
  <c r="J147" i="30"/>
  <c r="I146" i="30"/>
  <c r="I145" i="30" s="1"/>
  <c r="I144" i="30" s="1"/>
  <c r="H27" i="21"/>
  <c r="I26" i="21"/>
  <c r="H26" i="21" s="1"/>
  <c r="H386" i="21"/>
  <c r="I385" i="21"/>
  <c r="H209" i="21"/>
  <c r="G155" i="29"/>
  <c r="G154" i="29" s="1"/>
  <c r="I181" i="17"/>
  <c r="I180" i="17" s="1"/>
  <c r="G150" i="33"/>
  <c r="G149" i="33" s="1"/>
  <c r="G27" i="33"/>
  <c r="G26" i="33" s="1"/>
  <c r="I45" i="17"/>
  <c r="G33" i="29"/>
  <c r="H21" i="26"/>
  <c r="G21" i="26" s="1"/>
  <c r="G22" i="26"/>
  <c r="I163" i="29"/>
  <c r="I162" i="29" s="1"/>
  <c r="I161" i="29" s="1"/>
  <c r="I160" i="29" s="1"/>
  <c r="H162" i="29"/>
  <c r="H161" i="29" s="1"/>
  <c r="H160" i="29" s="1"/>
  <c r="H112" i="22" l="1"/>
  <c r="H111" i="22" s="1"/>
  <c r="H110" i="22" s="1"/>
  <c r="H109" i="22" s="1"/>
  <c r="H18" i="28"/>
  <c r="I491" i="21"/>
  <c r="I490" i="21" s="1"/>
  <c r="H492" i="21"/>
  <c r="J308" i="21"/>
  <c r="H309" i="21"/>
  <c r="E21" i="34" s="1"/>
  <c r="E20" i="34" s="1"/>
  <c r="K59" i="21"/>
  <c r="K58" i="21" s="1"/>
  <c r="H60" i="21"/>
  <c r="H241" i="21"/>
  <c r="K240" i="21"/>
  <c r="I94" i="17"/>
  <c r="I93" i="17" s="1"/>
  <c r="G73" i="29"/>
  <c r="I101" i="32"/>
  <c r="I100" i="32" s="1"/>
  <c r="G67" i="33"/>
  <c r="G66" i="33" s="1"/>
  <c r="I173" i="32"/>
  <c r="I172" i="32" s="1"/>
  <c r="I171" i="32" s="1"/>
  <c r="I196" i="24"/>
  <c r="I195" i="24" s="1"/>
  <c r="I194" i="24" s="1"/>
  <c r="I118" i="30"/>
  <c r="G56" i="29"/>
  <c r="H57" i="29"/>
  <c r="I39" i="32"/>
  <c r="J138" i="30"/>
  <c r="I137" i="30"/>
  <c r="E107" i="22"/>
  <c r="E106" i="22" s="1"/>
  <c r="E105" i="22" s="1"/>
  <c r="D108" i="22"/>
  <c r="H79" i="29"/>
  <c r="G78" i="29"/>
  <c r="G75" i="29" s="1"/>
  <c r="G74" i="29" s="1"/>
  <c r="J101" i="30"/>
  <c r="K102" i="30"/>
  <c r="K101" i="30" s="1"/>
  <c r="I165" i="24"/>
  <c r="I164" i="24" s="1"/>
  <c r="I140" i="32"/>
  <c r="I139" i="32" s="1"/>
  <c r="I95" i="30"/>
  <c r="H339" i="21"/>
  <c r="I170" i="24"/>
  <c r="I169" i="24" s="1"/>
  <c r="G96" i="29"/>
  <c r="I99" i="30"/>
  <c r="I145" i="32"/>
  <c r="I144" i="32" s="1"/>
  <c r="J106" i="30"/>
  <c r="I105" i="30"/>
  <c r="H363" i="21"/>
  <c r="I406" i="21"/>
  <c r="H406" i="21" s="1"/>
  <c r="H407" i="21"/>
  <c r="F14" i="27"/>
  <c r="G14" i="27" s="1"/>
  <c r="H14" i="27" s="1"/>
  <c r="E44" i="11"/>
  <c r="I412" i="21"/>
  <c r="H413" i="21"/>
  <c r="I537" i="21"/>
  <c r="H538" i="21"/>
  <c r="H63" i="29"/>
  <c r="G62" i="29"/>
  <c r="G139" i="29"/>
  <c r="I225" i="24"/>
  <c r="I224" i="24" s="1"/>
  <c r="I208" i="32"/>
  <c r="I207" i="32" s="1"/>
  <c r="I143" i="30"/>
  <c r="I33" i="17"/>
  <c r="G46" i="33"/>
  <c r="I54" i="32"/>
  <c r="D19" i="22"/>
  <c r="I339" i="21"/>
  <c r="I328" i="21" s="1"/>
  <c r="H340" i="21"/>
  <c r="H19" i="28"/>
  <c r="H33" i="29"/>
  <c r="G32" i="29"/>
  <c r="I77" i="32"/>
  <c r="I76" i="32" s="1"/>
  <c r="G51" i="29"/>
  <c r="G50" i="29" s="1"/>
  <c r="G43" i="33"/>
  <c r="G42" i="33" s="1"/>
  <c r="I76" i="17"/>
  <c r="I75" i="17" s="1"/>
  <c r="G49" i="33"/>
  <c r="G48" i="33" s="1"/>
  <c r="I36" i="17"/>
  <c r="I35" i="17" s="1"/>
  <c r="I69" i="29"/>
  <c r="I68" i="29" s="1"/>
  <c r="H68" i="29"/>
  <c r="H143" i="29"/>
  <c r="G142" i="29"/>
  <c r="I355" i="21"/>
  <c r="H355" i="21" s="1"/>
  <c r="H356" i="21"/>
  <c r="F198" i="32"/>
  <c r="E124" i="29"/>
  <c r="I289" i="21"/>
  <c r="H291" i="21"/>
  <c r="H289" i="21" s="1"/>
  <c r="I449" i="21"/>
  <c r="I443" i="21" s="1"/>
  <c r="H450" i="21"/>
  <c r="K454" i="21"/>
  <c r="K440" i="21" s="1"/>
  <c r="H461" i="21"/>
  <c r="I149" i="17" s="1"/>
  <c r="I148" i="17" s="1"/>
  <c r="I145" i="17" s="1"/>
  <c r="G43" i="29"/>
  <c r="H44" i="29"/>
  <c r="H46" i="29"/>
  <c r="G29" i="29"/>
  <c r="G28" i="29" s="1"/>
  <c r="H30" i="29"/>
  <c r="I170" i="32"/>
  <c r="I169" i="32" s="1"/>
  <c r="I193" i="24"/>
  <c r="I192" i="24" s="1"/>
  <c r="I115" i="30"/>
  <c r="J345" i="21"/>
  <c r="H346" i="21"/>
  <c r="I74" i="32"/>
  <c r="G40" i="33"/>
  <c r="G48" i="29"/>
  <c r="H48" i="29" s="1"/>
  <c r="I48" i="29" s="1"/>
  <c r="I73" i="17"/>
  <c r="I47" i="24"/>
  <c r="I46" i="24" s="1"/>
  <c r="I46" i="17"/>
  <c r="D459" i="21"/>
  <c r="F147" i="17"/>
  <c r="G74" i="33"/>
  <c r="J170" i="30"/>
  <c r="I169" i="30"/>
  <c r="I168" i="30" s="1"/>
  <c r="I167" i="30" s="1"/>
  <c r="I166" i="30" s="1"/>
  <c r="H167" i="21"/>
  <c r="I166" i="21"/>
  <c r="J500" i="21"/>
  <c r="H501" i="21"/>
  <c r="I103" i="30"/>
  <c r="J104" i="30"/>
  <c r="H37" i="29"/>
  <c r="G36" i="29"/>
  <c r="G124" i="29"/>
  <c r="H125" i="29"/>
  <c r="E22" i="11"/>
  <c r="F13" i="27"/>
  <c r="G13" i="27" s="1"/>
  <c r="H13" i="27" s="1"/>
  <c r="G25" i="33"/>
  <c r="I186" i="24"/>
  <c r="I185" i="24" s="1"/>
  <c r="I109" i="30"/>
  <c r="I163" i="32"/>
  <c r="I162" i="32" s="1"/>
  <c r="J146" i="30"/>
  <c r="J145" i="30" s="1"/>
  <c r="J144" i="30" s="1"/>
  <c r="K147" i="30"/>
  <c r="K146" i="30" s="1"/>
  <c r="K145" i="30" s="1"/>
  <c r="K144" i="30" s="1"/>
  <c r="G136" i="29"/>
  <c r="G135" i="29"/>
  <c r="G60" i="29"/>
  <c r="H61" i="29"/>
  <c r="H140" i="29"/>
  <c r="I141" i="29"/>
  <c r="I140" i="29" s="1"/>
  <c r="G122" i="33"/>
  <c r="G121" i="33" s="1"/>
  <c r="G114" i="33" s="1"/>
  <c r="G129" i="29"/>
  <c r="H104" i="22"/>
  <c r="H103" i="22" s="1"/>
  <c r="F19" i="27"/>
  <c r="F17" i="27" s="1"/>
  <c r="F15" i="27" s="1"/>
  <c r="E89" i="11"/>
  <c r="E88" i="11" s="1"/>
  <c r="J112" i="30"/>
  <c r="K113" i="30"/>
  <c r="K112" i="30" s="1"/>
  <c r="I140" i="24"/>
  <c r="I139" i="24" s="1"/>
  <c r="I134" i="24" s="1"/>
  <c r="I123" i="24" s="1"/>
  <c r="I122" i="24" s="1"/>
  <c r="I118" i="32"/>
  <c r="I117" i="32" s="1"/>
  <c r="H15" i="21"/>
  <c r="I11" i="21"/>
  <c r="I213" i="24"/>
  <c r="I212" i="24" s="1"/>
  <c r="I209" i="24" s="1"/>
  <c r="I208" i="24" s="1"/>
  <c r="I133" i="30"/>
  <c r="H449" i="21"/>
  <c r="I192" i="32"/>
  <c r="I191" i="32" s="1"/>
  <c r="J25" i="30"/>
  <c r="I24" i="30"/>
  <c r="I23" i="30" s="1"/>
  <c r="I22" i="30" s="1"/>
  <c r="I21" i="30" s="1"/>
  <c r="I45" i="24"/>
  <c r="I44" i="24" s="1"/>
  <c r="I43" i="24" s="1"/>
  <c r="I42" i="24" s="1"/>
  <c r="I44" i="17"/>
  <c r="I43" i="17" s="1"/>
  <c r="I42" i="17" s="1"/>
  <c r="I384" i="21"/>
  <c r="H385" i="21"/>
  <c r="I141" i="30"/>
  <c r="I223" i="24"/>
  <c r="I222" i="24" s="1"/>
  <c r="I221" i="24" s="1"/>
  <c r="I207" i="24" s="1"/>
  <c r="H491" i="21"/>
  <c r="I206" i="32"/>
  <c r="I205" i="32" s="1"/>
  <c r="I204" i="32" s="1"/>
  <c r="D484" i="21"/>
  <c r="F199" i="32"/>
  <c r="J65" i="30"/>
  <c r="I64" i="30"/>
  <c r="I138" i="29"/>
  <c r="I137" i="29" s="1"/>
  <c r="H137" i="29"/>
  <c r="G24" i="33"/>
  <c r="G23" i="33" s="1"/>
  <c r="G22" i="33" s="1"/>
  <c r="I33" i="32"/>
  <c r="I32" i="32" s="1"/>
  <c r="I31" i="32" s="1"/>
  <c r="I29" i="32" s="1"/>
  <c r="I41" i="17"/>
  <c r="I40" i="17" s="1"/>
  <c r="I39" i="17" s="1"/>
  <c r="J87" i="30"/>
  <c r="J86" i="30" s="1"/>
  <c r="J79" i="30" s="1"/>
  <c r="K88" i="30"/>
  <c r="K87" i="30" s="1"/>
  <c r="K86" i="30" s="1"/>
  <c r="K79" i="30" s="1"/>
  <c r="I65" i="29"/>
  <c r="I64" i="29" s="1"/>
  <c r="H64" i="29"/>
  <c r="I506" i="21"/>
  <c r="H506" i="21" s="1"/>
  <c r="H516" i="21"/>
  <c r="E31" i="34" s="1"/>
  <c r="E29" i="34" s="1"/>
  <c r="G97" i="29"/>
  <c r="H98" i="29"/>
  <c r="I90" i="32"/>
  <c r="I89" i="32" s="1"/>
  <c r="I81" i="32" s="1"/>
  <c r="I59" i="30"/>
  <c r="H126" i="29"/>
  <c r="I127" i="29"/>
  <c r="I126" i="29" s="1"/>
  <c r="E123" i="29"/>
  <c r="E122" i="29" s="1"/>
  <c r="F197" i="32"/>
  <c r="D462" i="21"/>
  <c r="F149" i="17" s="1"/>
  <c r="H35" i="29"/>
  <c r="G34" i="29"/>
  <c r="G53" i="29"/>
  <c r="G52" i="29" s="1"/>
  <c r="H54" i="29"/>
  <c r="K55" i="30"/>
  <c r="K54" i="30" s="1"/>
  <c r="J54" i="30"/>
  <c r="E120" i="29"/>
  <c r="F194" i="32"/>
  <c r="G82" i="29"/>
  <c r="G81" i="29" s="1"/>
  <c r="G80" i="29" s="1"/>
  <c r="H83" i="29"/>
  <c r="I577" i="21"/>
  <c r="H578" i="21"/>
  <c r="H122" i="29"/>
  <c r="I123" i="29"/>
  <c r="I122" i="29" s="1"/>
  <c r="G85" i="29"/>
  <c r="G84" i="29" s="1"/>
  <c r="H86" i="29"/>
  <c r="J136" i="30"/>
  <c r="I135" i="30"/>
  <c r="I134" i="30" s="1"/>
  <c r="K395" i="21"/>
  <c r="H396" i="21"/>
  <c r="H90" i="29"/>
  <c r="G89" i="29"/>
  <c r="H120" i="29"/>
  <c r="I121" i="29"/>
  <c r="I120" i="29" s="1"/>
  <c r="D17" i="28"/>
  <c r="G30" i="33"/>
  <c r="I100" i="30"/>
  <c r="I109" i="21"/>
  <c r="I90" i="29" l="1"/>
  <c r="I89" i="29" s="1"/>
  <c r="H89" i="29"/>
  <c r="I35" i="29"/>
  <c r="I34" i="29" s="1"/>
  <c r="H34" i="29"/>
  <c r="I136" i="29"/>
  <c r="I10" i="21"/>
  <c r="H10" i="21" s="1"/>
  <c r="I9" i="21"/>
  <c r="H11" i="21"/>
  <c r="H21" i="28"/>
  <c r="H113" i="22"/>
  <c r="I161" i="32"/>
  <c r="G134" i="29"/>
  <c r="G129" i="33"/>
  <c r="G128" i="33" s="1"/>
  <c r="I160" i="17"/>
  <c r="I159" i="17" s="1"/>
  <c r="D458" i="21"/>
  <c r="D457" i="21" s="1"/>
  <c r="E115" i="33"/>
  <c r="E116" i="33" s="1"/>
  <c r="F146" i="17"/>
  <c r="H43" i="29"/>
  <c r="I44" i="29"/>
  <c r="I43" i="29" s="1"/>
  <c r="G91" i="33"/>
  <c r="G90" i="33" s="1"/>
  <c r="I118" i="17"/>
  <c r="I117" i="17" s="1"/>
  <c r="G31" i="29"/>
  <c r="G27" i="29" s="1"/>
  <c r="G26" i="29" s="1"/>
  <c r="I327" i="21"/>
  <c r="I156" i="30"/>
  <c r="I155" i="30" s="1"/>
  <c r="I154" i="30" s="1"/>
  <c r="I150" i="30" s="1"/>
  <c r="I246" i="24"/>
  <c r="I245" i="24" s="1"/>
  <c r="I244" i="24" s="1"/>
  <c r="I237" i="24" s="1"/>
  <c r="I223" i="32"/>
  <c r="I222" i="32" s="1"/>
  <c r="I221" i="32" s="1"/>
  <c r="G13" i="29"/>
  <c r="H13" i="29" s="1"/>
  <c r="I13" i="29" s="1"/>
  <c r="I11" i="30"/>
  <c r="J11" i="30" s="1"/>
  <c r="K11" i="30" s="1"/>
  <c r="I98" i="30"/>
  <c r="J99" i="30"/>
  <c r="H56" i="29"/>
  <c r="I57" i="29"/>
  <c r="I56" i="29" s="1"/>
  <c r="H59" i="21"/>
  <c r="E13" i="34" s="1"/>
  <c r="I36" i="24"/>
  <c r="I35" i="24" s="1"/>
  <c r="I34" i="24" s="1"/>
  <c r="I33" i="24" s="1"/>
  <c r="I32" i="24" s="1"/>
  <c r="I158" i="17"/>
  <c r="I157" i="17" s="1"/>
  <c r="I156" i="17" s="1"/>
  <c r="G127" i="33"/>
  <c r="G126" i="33" s="1"/>
  <c r="G132" i="29"/>
  <c r="I111" i="30"/>
  <c r="I166" i="32"/>
  <c r="I165" i="32" s="1"/>
  <c r="I189" i="24"/>
  <c r="I188" i="24" s="1"/>
  <c r="H85" i="29"/>
  <c r="H84" i="29" s="1"/>
  <c r="I86" i="29"/>
  <c r="I85" i="29" s="1"/>
  <c r="I84" i="29" s="1"/>
  <c r="G154" i="33"/>
  <c r="G153" i="33" s="1"/>
  <c r="G152" i="33" s="1"/>
  <c r="G151" i="33" s="1"/>
  <c r="I185" i="17"/>
  <c r="I184" i="17" s="1"/>
  <c r="I183" i="17" s="1"/>
  <c r="I182" i="17" s="1"/>
  <c r="G159" i="29"/>
  <c r="H53" i="29"/>
  <c r="H52" i="29" s="1"/>
  <c r="I54" i="29"/>
  <c r="I53" i="29" s="1"/>
  <c r="I52" i="29" s="1"/>
  <c r="H97" i="29"/>
  <c r="I98" i="29"/>
  <c r="I97" i="29" s="1"/>
  <c r="I126" i="17"/>
  <c r="I125" i="17" s="1"/>
  <c r="G97" i="33"/>
  <c r="G96" i="33" s="1"/>
  <c r="G100" i="29"/>
  <c r="G47" i="33"/>
  <c r="G45" i="33" s="1"/>
  <c r="G44" i="33" s="1"/>
  <c r="I34" i="17"/>
  <c r="H129" i="29"/>
  <c r="G128" i="29"/>
  <c r="G119" i="29" s="1"/>
  <c r="H139" i="29"/>
  <c r="J109" i="30"/>
  <c r="I108" i="30"/>
  <c r="G12" i="29"/>
  <c r="E21" i="11"/>
  <c r="E104" i="11" s="1"/>
  <c r="I10" i="30"/>
  <c r="J490" i="21"/>
  <c r="J440" i="21" s="1"/>
  <c r="H500" i="21"/>
  <c r="H490" i="21" s="1"/>
  <c r="E28" i="34" s="1"/>
  <c r="K170" i="30"/>
  <c r="K169" i="30" s="1"/>
  <c r="K168" i="30" s="1"/>
  <c r="K167" i="30" s="1"/>
  <c r="K166" i="30" s="1"/>
  <c r="J169" i="30"/>
  <c r="J168" i="30" s="1"/>
  <c r="J167" i="30" s="1"/>
  <c r="J166" i="30" s="1"/>
  <c r="I97" i="30"/>
  <c r="I142" i="32"/>
  <c r="I141" i="32" s="1"/>
  <c r="I135" i="32" s="1"/>
  <c r="I134" i="32" s="1"/>
  <c r="I133" i="32" s="1"/>
  <c r="H344" i="21"/>
  <c r="H328" i="21" s="1"/>
  <c r="I167" i="24"/>
  <c r="I166" i="24" s="1"/>
  <c r="H32" i="29"/>
  <c r="H31" i="29" s="1"/>
  <c r="I33" i="29"/>
  <c r="I32" i="29" s="1"/>
  <c r="J143" i="30"/>
  <c r="I142" i="30"/>
  <c r="I536" i="21"/>
  <c r="H537" i="21"/>
  <c r="H96" i="29"/>
  <c r="G95" i="29"/>
  <c r="I161" i="24"/>
  <c r="H78" i="29"/>
  <c r="H75" i="29" s="1"/>
  <c r="H74" i="29" s="1"/>
  <c r="I79" i="29"/>
  <c r="I78" i="29" s="1"/>
  <c r="I75" i="29" s="1"/>
  <c r="I74" i="29" s="1"/>
  <c r="H240" i="21"/>
  <c r="K226" i="21"/>
  <c r="K57" i="21"/>
  <c r="H58" i="21"/>
  <c r="K394" i="21"/>
  <c r="H395" i="21"/>
  <c r="I576" i="21"/>
  <c r="H577" i="21"/>
  <c r="J59" i="30"/>
  <c r="I58" i="30"/>
  <c r="I53" i="30" s="1"/>
  <c r="K65" i="30"/>
  <c r="K64" i="30" s="1"/>
  <c r="J64" i="30"/>
  <c r="H384" i="21"/>
  <c r="I383" i="21"/>
  <c r="J24" i="30"/>
  <c r="J23" i="30" s="1"/>
  <c r="J22" i="30" s="1"/>
  <c r="J21" i="30" s="1"/>
  <c r="K25" i="30"/>
  <c r="K24" i="30" s="1"/>
  <c r="K23" i="30" s="1"/>
  <c r="K22" i="30" s="1"/>
  <c r="K21" i="30" s="1"/>
  <c r="J133" i="30"/>
  <c r="I132" i="30"/>
  <c r="I129" i="30" s="1"/>
  <c r="I128" i="30" s="1"/>
  <c r="H60" i="29"/>
  <c r="I61" i="29"/>
  <c r="I60" i="29" s="1"/>
  <c r="I184" i="24"/>
  <c r="I37" i="29"/>
  <c r="I36" i="29" s="1"/>
  <c r="H36" i="29"/>
  <c r="J103" i="30"/>
  <c r="K104" i="30"/>
  <c r="K103" i="30" s="1"/>
  <c r="K100" i="30" s="1"/>
  <c r="I165" i="21"/>
  <c r="H166" i="21"/>
  <c r="I45" i="30" s="1"/>
  <c r="J344" i="21"/>
  <c r="J328" i="21" s="1"/>
  <c r="J327" i="21" s="1"/>
  <c r="J326" i="21" s="1"/>
  <c r="J148" i="21" s="1"/>
  <c r="J598" i="21" s="1"/>
  <c r="J601" i="21" s="1"/>
  <c r="H345" i="21"/>
  <c r="I46" i="29"/>
  <c r="G113" i="33"/>
  <c r="G112" i="33" s="1"/>
  <c r="G109" i="33" s="1"/>
  <c r="G118" i="29"/>
  <c r="I144" i="17"/>
  <c r="I143" i="17" s="1"/>
  <c r="I140" i="17" s="1"/>
  <c r="I139" i="17" s="1"/>
  <c r="I32" i="17"/>
  <c r="I31" i="17" s="1"/>
  <c r="I30" i="17" s="1"/>
  <c r="I29" i="17" s="1"/>
  <c r="I28" i="17" s="1"/>
  <c r="I63" i="29"/>
  <c r="I62" i="29" s="1"/>
  <c r="H62" i="29"/>
  <c r="G106" i="29"/>
  <c r="I136" i="17"/>
  <c r="I135" i="17" s="1"/>
  <c r="I134" i="17" s="1"/>
  <c r="G105" i="33"/>
  <c r="G104" i="33" s="1"/>
  <c r="I133" i="17"/>
  <c r="I132" i="17" s="1"/>
  <c r="G104" i="29"/>
  <c r="G103" i="33"/>
  <c r="G102" i="33" s="1"/>
  <c r="K106" i="30"/>
  <c r="K105" i="30" s="1"/>
  <c r="J105" i="30"/>
  <c r="C165" i="12"/>
  <c r="C162" i="12" s="1"/>
  <c r="C148" i="12" s="1"/>
  <c r="C126" i="12" s="1"/>
  <c r="D107" i="22"/>
  <c r="D106" i="22" s="1"/>
  <c r="D105" i="22" s="1"/>
  <c r="K138" i="30"/>
  <c r="K137" i="30" s="1"/>
  <c r="J137" i="30"/>
  <c r="I117" i="30"/>
  <c r="I116" i="30" s="1"/>
  <c r="J118" i="30"/>
  <c r="I84" i="17"/>
  <c r="G59" i="29"/>
  <c r="G57" i="33"/>
  <c r="G56" i="33" s="1"/>
  <c r="G53" i="33" s="1"/>
  <c r="C17" i="28"/>
  <c r="I17" i="28"/>
  <c r="J135" i="30"/>
  <c r="J134" i="30" s="1"/>
  <c r="K136" i="30"/>
  <c r="K135" i="30" s="1"/>
  <c r="F23" i="27"/>
  <c r="G23" i="27" s="1"/>
  <c r="H23" i="27" s="1"/>
  <c r="I38" i="17"/>
  <c r="F155" i="17"/>
  <c r="F154" i="17" s="1"/>
  <c r="E125" i="29"/>
  <c r="E124" i="33"/>
  <c r="E123" i="33" s="1"/>
  <c r="J141" i="30"/>
  <c r="I140" i="30"/>
  <c r="I83" i="29"/>
  <c r="I82" i="29" s="1"/>
  <c r="I81" i="29" s="1"/>
  <c r="I80" i="29" s="1"/>
  <c r="H82" i="29"/>
  <c r="H81" i="29" s="1"/>
  <c r="H136" i="29"/>
  <c r="H135" i="29"/>
  <c r="H124" i="29"/>
  <c r="I125" i="29"/>
  <c r="I124" i="29" s="1"/>
  <c r="J115" i="30"/>
  <c r="I114" i="30"/>
  <c r="I30" i="29"/>
  <c r="I29" i="29" s="1"/>
  <c r="I28" i="29" s="1"/>
  <c r="H29" i="29"/>
  <c r="H28" i="29" s="1"/>
  <c r="I442" i="21"/>
  <c r="H443" i="21"/>
  <c r="I188" i="32" s="1"/>
  <c r="I187" i="32" s="1"/>
  <c r="I186" i="32" s="1"/>
  <c r="H142" i="29"/>
  <c r="I143" i="29"/>
  <c r="I142" i="29" s="1"/>
  <c r="I139" i="29" s="1"/>
  <c r="I135" i="29" s="1"/>
  <c r="I114" i="17"/>
  <c r="I113" i="17" s="1"/>
  <c r="G87" i="33"/>
  <c r="G86" i="33" s="1"/>
  <c r="G92" i="29"/>
  <c r="I411" i="21"/>
  <c r="H412" i="21"/>
  <c r="H411" i="21" s="1"/>
  <c r="H454" i="21"/>
  <c r="E27" i="34" s="1"/>
  <c r="J95" i="30"/>
  <c r="I94" i="30"/>
  <c r="J100" i="30"/>
  <c r="I30" i="32"/>
  <c r="H73" i="29"/>
  <c r="G72" i="29"/>
  <c r="H308" i="21"/>
  <c r="F18" i="28" l="1"/>
  <c r="F19" i="28" s="1"/>
  <c r="F112" i="22"/>
  <c r="F111" i="22" s="1"/>
  <c r="F110" i="22" s="1"/>
  <c r="F109" i="22" s="1"/>
  <c r="F104" i="22" s="1"/>
  <c r="F103" i="22" s="1"/>
  <c r="I109" i="17"/>
  <c r="I108" i="17" s="1"/>
  <c r="I441" i="21"/>
  <c r="H442" i="21"/>
  <c r="J114" i="30"/>
  <c r="K115" i="30"/>
  <c r="K114" i="30" s="1"/>
  <c r="K141" i="30"/>
  <c r="K140" i="30" s="1"/>
  <c r="J140" i="30"/>
  <c r="F21" i="27"/>
  <c r="I37" i="17"/>
  <c r="I115" i="24"/>
  <c r="I114" i="24" s="1"/>
  <c r="I100" i="24" s="1"/>
  <c r="I83" i="17"/>
  <c r="I80" i="17" s="1"/>
  <c r="G117" i="29"/>
  <c r="G114" i="29" s="1"/>
  <c r="H118" i="29"/>
  <c r="G89" i="33"/>
  <c r="G88" i="33" s="1"/>
  <c r="G94" i="29"/>
  <c r="I116" i="17"/>
  <c r="I115" i="17" s="1"/>
  <c r="K133" i="30"/>
  <c r="K132" i="30" s="1"/>
  <c r="K129" i="30" s="1"/>
  <c r="K128" i="30" s="1"/>
  <c r="J132" i="30"/>
  <c r="J129" i="30" s="1"/>
  <c r="J128" i="30" s="1"/>
  <c r="I575" i="21"/>
  <c r="H575" i="21" s="1"/>
  <c r="H576" i="21"/>
  <c r="E36" i="34" s="1"/>
  <c r="E35" i="34" s="1"/>
  <c r="H12" i="29"/>
  <c r="G11" i="29"/>
  <c r="G158" i="29"/>
  <c r="G157" i="29" s="1"/>
  <c r="G156" i="29" s="1"/>
  <c r="H159" i="29"/>
  <c r="I326" i="21"/>
  <c r="H327" i="21"/>
  <c r="E24" i="34" s="1"/>
  <c r="E23" i="34" s="1"/>
  <c r="G133" i="29"/>
  <c r="H134" i="29"/>
  <c r="I73" i="29"/>
  <c r="I72" i="29" s="1"/>
  <c r="H72" i="29"/>
  <c r="H27" i="29"/>
  <c r="H26" i="29" s="1"/>
  <c r="J117" i="30"/>
  <c r="J116" i="30" s="1"/>
  <c r="K118" i="30"/>
  <c r="K117" i="30" s="1"/>
  <c r="K116" i="30" s="1"/>
  <c r="G99" i="33"/>
  <c r="G98" i="33" s="1"/>
  <c r="G102" i="29"/>
  <c r="I129" i="17"/>
  <c r="I128" i="17" s="1"/>
  <c r="K109" i="21"/>
  <c r="H57" i="21"/>
  <c r="H109" i="21" s="1"/>
  <c r="H95" i="29"/>
  <c r="I96" i="29"/>
  <c r="I95" i="29" s="1"/>
  <c r="J142" i="30"/>
  <c r="K143" i="30"/>
  <c r="K142" i="30" s="1"/>
  <c r="I96" i="30"/>
  <c r="I91" i="30" s="1"/>
  <c r="I90" i="30" s="1"/>
  <c r="I89" i="30" s="1"/>
  <c r="J97" i="30"/>
  <c r="I129" i="29"/>
  <c r="I128" i="29" s="1"/>
  <c r="I119" i="29" s="1"/>
  <c r="H128" i="29"/>
  <c r="H119" i="29" s="1"/>
  <c r="G99" i="29"/>
  <c r="H100" i="29"/>
  <c r="G131" i="29"/>
  <c r="G130" i="29" s="1"/>
  <c r="H132" i="29"/>
  <c r="K99" i="30"/>
  <c r="K98" i="30" s="1"/>
  <c r="J98" i="30"/>
  <c r="F195" i="32"/>
  <c r="D456" i="21"/>
  <c r="E121" i="29" s="1"/>
  <c r="I8" i="21"/>
  <c r="H9" i="21"/>
  <c r="G25" i="29" s="1"/>
  <c r="G24" i="29" s="1"/>
  <c r="G23" i="29" s="1"/>
  <c r="J94" i="30"/>
  <c r="K95" i="30"/>
  <c r="K94" i="30" s="1"/>
  <c r="G91" i="29"/>
  <c r="H92" i="29"/>
  <c r="H80" i="29"/>
  <c r="K134" i="30"/>
  <c r="J45" i="30"/>
  <c r="I44" i="30"/>
  <c r="I42" i="30" s="1"/>
  <c r="I41" i="30" s="1"/>
  <c r="I38" i="30" s="1"/>
  <c r="I37" i="30" s="1"/>
  <c r="J58" i="30"/>
  <c r="J53" i="30" s="1"/>
  <c r="K59" i="30"/>
  <c r="K58" i="30" s="1"/>
  <c r="K53" i="30" s="1"/>
  <c r="K383" i="21"/>
  <c r="K327" i="21" s="1"/>
  <c r="K326" i="21" s="1"/>
  <c r="H394" i="21"/>
  <c r="H383" i="21" s="1"/>
  <c r="H226" i="21"/>
  <c r="E17" i="34" s="1"/>
  <c r="K149" i="21"/>
  <c r="K148" i="21" s="1"/>
  <c r="K598" i="21" s="1"/>
  <c r="K601" i="21" s="1"/>
  <c r="I176" i="17"/>
  <c r="I175" i="17" s="1"/>
  <c r="I174" i="17" s="1"/>
  <c r="I170" i="17" s="1"/>
  <c r="G145" i="33"/>
  <c r="G144" i="33" s="1"/>
  <c r="G143" i="33" s="1"/>
  <c r="G139" i="33" s="1"/>
  <c r="G150" i="29"/>
  <c r="G149" i="29" s="1"/>
  <c r="G148" i="29" s="1"/>
  <c r="G144" i="29" s="1"/>
  <c r="J10" i="30"/>
  <c r="I9" i="30"/>
  <c r="I177" i="30" s="1"/>
  <c r="I178" i="30" s="1"/>
  <c r="J108" i="30"/>
  <c r="K109" i="30"/>
  <c r="K108" i="30" s="1"/>
  <c r="G125" i="33"/>
  <c r="G108" i="33" s="1"/>
  <c r="G82" i="33"/>
  <c r="G81" i="33" s="1"/>
  <c r="I139" i="30"/>
  <c r="I127" i="30" s="1"/>
  <c r="G58" i="29"/>
  <c r="G55" i="29" s="1"/>
  <c r="H59" i="29"/>
  <c r="H104" i="29"/>
  <c r="G103" i="29"/>
  <c r="G105" i="29"/>
  <c r="H106" i="29"/>
  <c r="H165" i="21"/>
  <c r="I158" i="21"/>
  <c r="I160" i="24"/>
  <c r="I159" i="24" s="1"/>
  <c r="H536" i="21"/>
  <c r="I535" i="21"/>
  <c r="I31" i="29"/>
  <c r="I27" i="29" s="1"/>
  <c r="I26" i="29" s="1"/>
  <c r="J111" i="30"/>
  <c r="I110" i="30"/>
  <c r="I107" i="30" s="1"/>
  <c r="K45" i="30" l="1"/>
  <c r="K44" i="30" s="1"/>
  <c r="K42" i="30" s="1"/>
  <c r="K41" i="30" s="1"/>
  <c r="K38" i="30" s="1"/>
  <c r="K37" i="30" s="1"/>
  <c r="J44" i="30"/>
  <c r="J42" i="30" s="1"/>
  <c r="J41" i="30" s="1"/>
  <c r="J38" i="30" s="1"/>
  <c r="J37" i="30" s="1"/>
  <c r="J91" i="30"/>
  <c r="I100" i="29"/>
  <c r="I99" i="29" s="1"/>
  <c r="H99" i="29"/>
  <c r="H133" i="29"/>
  <c r="I134" i="29"/>
  <c r="I133" i="29" s="1"/>
  <c r="H326" i="21"/>
  <c r="G93" i="29"/>
  <c r="G88" i="29" s="1"/>
  <c r="G87" i="29" s="1"/>
  <c r="H94" i="29"/>
  <c r="J139" i="30"/>
  <c r="J127" i="30" s="1"/>
  <c r="H535" i="21"/>
  <c r="E34" i="34" s="1"/>
  <c r="E32" i="34" s="1"/>
  <c r="I528" i="21"/>
  <c r="H528" i="21" s="1"/>
  <c r="I72" i="17"/>
  <c r="I73" i="32"/>
  <c r="I71" i="32" s="1"/>
  <c r="I68" i="32" s="1"/>
  <c r="G47" i="29"/>
  <c r="G39" i="33"/>
  <c r="G37" i="33" s="1"/>
  <c r="G34" i="33" s="1"/>
  <c r="G21" i="33" s="1"/>
  <c r="G159" i="33" s="1"/>
  <c r="I93" i="24"/>
  <c r="I91" i="24" s="1"/>
  <c r="I90" i="24" s="1"/>
  <c r="I67" i="24" s="1"/>
  <c r="I66" i="24" s="1"/>
  <c r="I65" i="24" s="1"/>
  <c r="I264" i="24" s="1"/>
  <c r="I104" i="29"/>
  <c r="I103" i="29" s="1"/>
  <c r="H103" i="29"/>
  <c r="I132" i="29"/>
  <c r="I131" i="29" s="1"/>
  <c r="H131" i="29"/>
  <c r="H130" i="29" s="1"/>
  <c r="H102" i="29"/>
  <c r="G101" i="29"/>
  <c r="H158" i="29"/>
  <c r="H157" i="29" s="1"/>
  <c r="H156" i="29" s="1"/>
  <c r="I159" i="29"/>
  <c r="I158" i="29" s="1"/>
  <c r="I157" i="29" s="1"/>
  <c r="I156" i="29" s="1"/>
  <c r="I118" i="29"/>
  <c r="I117" i="29" s="1"/>
  <c r="I114" i="29" s="1"/>
  <c r="H117" i="29"/>
  <c r="H114" i="29" s="1"/>
  <c r="K111" i="30"/>
  <c r="K110" i="30" s="1"/>
  <c r="K107" i="30" s="1"/>
  <c r="J110" i="30"/>
  <c r="J107" i="30" s="1"/>
  <c r="H105" i="29"/>
  <c r="I106" i="29"/>
  <c r="I105" i="29" s="1"/>
  <c r="I59" i="29"/>
  <c r="I58" i="29" s="1"/>
  <c r="I55" i="29" s="1"/>
  <c r="H58" i="29"/>
  <c r="H55" i="29" s="1"/>
  <c r="I36" i="30"/>
  <c r="I176" i="30" s="1"/>
  <c r="I30" i="21"/>
  <c r="H8" i="21"/>
  <c r="H30" i="21" s="1"/>
  <c r="G113" i="29"/>
  <c r="G21" i="27"/>
  <c r="F20" i="27"/>
  <c r="F33" i="27" s="1"/>
  <c r="F21" i="28"/>
  <c r="F113" i="22"/>
  <c r="I157" i="21"/>
  <c r="H158" i="21"/>
  <c r="I70" i="17" s="1"/>
  <c r="I67" i="17" s="1"/>
  <c r="I66" i="17" s="1"/>
  <c r="I65" i="17" s="1"/>
  <c r="I190" i="17" s="1"/>
  <c r="J9" i="30"/>
  <c r="J177" i="30" s="1"/>
  <c r="J178" i="30" s="1"/>
  <c r="K10" i="30"/>
  <c r="K9" i="30" s="1"/>
  <c r="K177" i="30" s="1"/>
  <c r="K178" i="30" s="1"/>
  <c r="G18" i="28"/>
  <c r="G19" i="28" s="1"/>
  <c r="G112" i="22"/>
  <c r="G111" i="22" s="1"/>
  <c r="G110" i="22" s="1"/>
  <c r="G109" i="22" s="1"/>
  <c r="G104" i="22" s="1"/>
  <c r="G103" i="22" s="1"/>
  <c r="I92" i="29"/>
  <c r="I91" i="29" s="1"/>
  <c r="H91" i="29"/>
  <c r="K97" i="30"/>
  <c r="K96" i="30" s="1"/>
  <c r="K91" i="30" s="1"/>
  <c r="K90" i="30" s="1"/>
  <c r="K89" i="30" s="1"/>
  <c r="J96" i="30"/>
  <c r="I12" i="29"/>
  <c r="I11" i="29" s="1"/>
  <c r="H11" i="29"/>
  <c r="K139" i="30"/>
  <c r="K127" i="30" s="1"/>
  <c r="I440" i="21"/>
  <c r="H440" i="21" s="1"/>
  <c r="H441" i="21"/>
  <c r="E26" i="34" s="1"/>
  <c r="E25" i="34" s="1"/>
  <c r="H157" i="21" l="1"/>
  <c r="I150" i="21"/>
  <c r="H21" i="27"/>
  <c r="H20" i="27" s="1"/>
  <c r="G20" i="27"/>
  <c r="G33" i="27" s="1"/>
  <c r="I102" i="29"/>
  <c r="I101" i="29" s="1"/>
  <c r="H101" i="29"/>
  <c r="J36" i="30"/>
  <c r="I130" i="29"/>
  <c r="I113" i="29" s="1"/>
  <c r="H47" i="29"/>
  <c r="G45" i="29"/>
  <c r="G42" i="29" s="1"/>
  <c r="G41" i="29" s="1"/>
  <c r="G40" i="29" s="1"/>
  <c r="G20" i="29" s="1"/>
  <c r="G164" i="29" s="1"/>
  <c r="G165" i="29" s="1"/>
  <c r="K36" i="30"/>
  <c r="H93" i="29"/>
  <c r="I94" i="29"/>
  <c r="I93" i="29" s="1"/>
  <c r="I88" i="29" s="1"/>
  <c r="I87" i="29" s="1"/>
  <c r="J90" i="30"/>
  <c r="J89" i="30" s="1"/>
  <c r="H88" i="29"/>
  <c r="H87" i="29" s="1"/>
  <c r="G21" i="28"/>
  <c r="G113" i="22"/>
  <c r="H113" i="29"/>
  <c r="I67" i="32"/>
  <c r="I66" i="32"/>
  <c r="I244" i="32" s="1"/>
  <c r="I47" i="29" l="1"/>
  <c r="I45" i="29" s="1"/>
  <c r="I42" i="29" s="1"/>
  <c r="I41" i="29" s="1"/>
  <c r="I40" i="29" s="1"/>
  <c r="I20" i="29" s="1"/>
  <c r="I164" i="29" s="1"/>
  <c r="I165" i="29" s="1"/>
  <c r="H45" i="29"/>
  <c r="H42" i="29" s="1"/>
  <c r="H41" i="29" s="1"/>
  <c r="H40" i="29" s="1"/>
  <c r="H20" i="29" s="1"/>
  <c r="H164" i="29" s="1"/>
  <c r="H165" i="29" s="1"/>
  <c r="I149" i="21"/>
  <c r="H150" i="21"/>
  <c r="E15" i="34" s="1"/>
  <c r="E12" i="34" s="1"/>
  <c r="E39" i="34" s="1"/>
  <c r="H149" i="21" l="1"/>
  <c r="I148" i="21"/>
  <c r="I598" i="21" l="1"/>
  <c r="H148" i="21"/>
  <c r="I601" i="21" l="1"/>
  <c r="H598" i="21"/>
  <c r="H601" i="21" s="1"/>
  <c r="C213" i="12" s="1"/>
  <c r="C210" i="12" l="1"/>
  <c r="C196" i="12" s="1"/>
  <c r="C174" i="12" s="1"/>
  <c r="C125" i="12"/>
  <c r="C124" i="12" s="1"/>
  <c r="C214" i="12" s="1"/>
  <c r="E18" i="28"/>
  <c r="E112" i="22"/>
  <c r="D18" i="28" l="1"/>
  <c r="E19" i="28"/>
  <c r="D19" i="28" s="1"/>
  <c r="E111" i="22"/>
  <c r="E110" i="22" s="1"/>
  <c r="E109" i="22" s="1"/>
  <c r="E104" i="22" s="1"/>
  <c r="D112" i="22"/>
  <c r="D111" i="22" s="1"/>
  <c r="D110" i="22" s="1"/>
  <c r="D109" i="22" s="1"/>
  <c r="I19" i="28" l="1"/>
  <c r="C19" i="28"/>
  <c r="C18" i="28"/>
  <c r="I18" i="28"/>
  <c r="E103" i="22"/>
  <c r="D104" i="22"/>
  <c r="E21" i="28" l="1"/>
  <c r="D21" i="28" s="1"/>
  <c r="D103" i="22"/>
  <c r="E113" i="22"/>
  <c r="I21" i="28" l="1"/>
  <c r="C21" i="28"/>
  <c r="D108" i="11"/>
  <c r="I265" i="24"/>
  <c r="E105" i="11"/>
  <c r="E106" i="11" s="1"/>
  <c r="D113" i="22"/>
</calcChain>
</file>

<file path=xl/sharedStrings.xml><?xml version="1.0" encoding="utf-8"?>
<sst xmlns="http://schemas.openxmlformats.org/spreadsheetml/2006/main" count="6227" uniqueCount="1621">
  <si>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</si>
  <si>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</si>
  <si>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</si>
  <si>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</si>
  <si>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</si>
  <si>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</si>
  <si>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</si>
  <si>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</si>
  <si>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</si>
  <si>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</si>
  <si>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</si>
  <si>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</si>
  <si>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</si>
  <si>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</si>
  <si>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</si>
  <si>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</si>
  <si>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</si>
  <si>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</si>
  <si>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</si>
  <si>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</si>
  <si>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</si>
  <si>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</si>
  <si>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</si>
  <si>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</si>
  <si>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</si>
  <si>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</si>
  <si>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</si>
  <si>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</si>
  <si>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</si>
  <si>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</si>
  <si>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</si>
  <si>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</si>
  <si>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</si>
  <si>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</si>
  <si>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</si>
  <si>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</si>
  <si>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</si>
  <si>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</si>
  <si>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</si>
  <si>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</si>
  <si>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</si>
  <si>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</si>
  <si>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</si>
  <si>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</si>
  <si>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</si>
  <si>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</si>
  <si>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</si>
  <si>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</si>
  <si>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</si>
  <si>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</si>
  <si>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</si>
  <si>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</si>
  <si>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</si>
  <si>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</si>
  <si>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</si>
  <si>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</si>
  <si>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</si>
  <si>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</si>
  <si>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</si>
  <si>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</si>
  <si>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</si>
  <si>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</si>
  <si>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</si>
  <si>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</si>
  <si>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</si>
  <si>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</si>
  <si>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</si>
  <si>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</si>
  <si>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</si>
  <si>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</si>
  <si>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</si>
  <si>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</si>
  <si>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</si>
  <si>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</si>
  <si>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</si>
  <si>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</si>
  <si>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</si>
  <si>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</si>
  <si>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</si>
  <si>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</si>
  <si>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</si>
  <si>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</si>
  <si>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</si>
  <si>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</si>
  <si>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</si>
  <si>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</si>
  <si>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</si>
  <si>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</si>
  <si>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</si>
  <si>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</si>
  <si>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</si>
  <si>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</si>
  <si>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</si>
  <si>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</si>
  <si>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</si>
  <si>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</si>
  <si>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</si>
  <si>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</si>
  <si>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</si>
  <si>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</si>
  <si>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</si>
  <si>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</si>
  <si>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</si>
  <si>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</si>
  <si>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</si>
  <si>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</si>
  <si>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</si>
  <si>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</si>
  <si>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</si>
  <si>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</si>
  <si>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</si>
  <si>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</si>
  <si>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</si>
  <si>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</si>
  <si>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</si>
  <si>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</si>
  <si>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</si>
  <si>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</si>
  <si>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</si>
  <si>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</si>
  <si>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</si>
  <si>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</si>
  <si>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</si>
  <si>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</si>
  <si>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</si>
  <si>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</si>
  <si>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</si>
  <si>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</si>
  <si>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</si>
  <si>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</si>
  <si>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</si>
  <si>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</si>
  <si>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</si>
  <si>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</si>
  <si>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</si>
  <si>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</si>
  <si>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</si>
  <si>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</si>
  <si>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</si>
  <si>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</si>
  <si>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</si>
  <si>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</si>
  <si>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</si>
  <si>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</si>
  <si>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</si>
  <si>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</si>
  <si>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</si>
  <si>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</si>
  <si>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</si>
  <si>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</si>
  <si>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</si>
  <si>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</si>
  <si>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</si>
  <si>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</si>
  <si>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</si>
  <si>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</si>
  <si>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</si>
  <si>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</si>
  <si>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</si>
  <si>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</si>
  <si>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6.1.5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</si>
  <si>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</si>
  <si>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</si>
  <si>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</si>
  <si>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</si>
  <si>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6.1.5.1</t>
  </si>
  <si>
    <t>6.3</t>
  </si>
  <si>
    <t>6.3.1</t>
  </si>
  <si>
    <t>6.4.2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</si>
  <si>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</si>
  <si>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</si>
  <si>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</si>
  <si>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</si>
  <si>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</si>
  <si>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</si>
  <si>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</si>
  <si>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</si>
  <si>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</si>
  <si>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</si>
  <si>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</si>
  <si>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</si>
  <si>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</si>
  <si>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</si>
  <si>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</si>
  <si>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</si>
  <si>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</si>
  <si>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</si>
  <si>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</si>
  <si>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</si>
  <si>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</si>
  <si>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</si>
  <si>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</si>
  <si>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</si>
  <si>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</si>
  <si>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</si>
  <si>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</si>
  <si>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</si>
  <si>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</si>
  <si>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</si>
  <si>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</si>
  <si>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</si>
  <si>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</si>
  <si>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</si>
  <si>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</si>
  <si>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</si>
  <si>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</si>
  <si>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</si>
  <si>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</si>
  <si>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</si>
  <si>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</si>
  <si>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</si>
  <si>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</si>
  <si>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</si>
  <si>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</si>
  <si>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</si>
  <si>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</si>
  <si>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</si>
  <si>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</si>
  <si>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</si>
  <si>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</si>
  <si>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</si>
  <si>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</si>
  <si>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</si>
  <si>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</si>
  <si>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</si>
  <si>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</si>
  <si>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</si>
  <si>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</si>
  <si>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</si>
  <si>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</si>
  <si>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</si>
  <si>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</si>
  <si>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</si>
  <si>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</si>
  <si>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</si>
  <si>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</si>
  <si>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</si>
  <si>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</si>
  <si>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</si>
  <si>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</si>
  <si>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</si>
  <si>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</si>
  <si>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</si>
  <si>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</si>
  <si>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</si>
  <si>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</si>
  <si>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</si>
  <si>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</si>
  <si>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</si>
  <si>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</si>
  <si>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</si>
  <si>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</si>
  <si>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</si>
  <si>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</si>
  <si>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</si>
  <si>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</si>
  <si>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</si>
  <si>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</si>
  <si>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</si>
  <si>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</si>
  <si>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</si>
  <si>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</si>
  <si>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</si>
  <si>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</si>
  <si>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</si>
  <si>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</si>
  <si>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</si>
  <si>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</si>
  <si>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</si>
  <si>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</si>
  <si>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</si>
  <si>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</si>
  <si>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</si>
  <si>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</si>
  <si>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</si>
  <si>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</si>
  <si>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</si>
  <si>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</si>
  <si>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</si>
  <si>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</si>
  <si>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</si>
  <si>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</si>
  <si>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</si>
  <si>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</si>
  <si>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</si>
  <si>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</si>
  <si>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</si>
  <si>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</si>
  <si>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</si>
  <si>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</si>
  <si>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</si>
  <si>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</si>
  <si>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</si>
  <si>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</si>
  <si>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</si>
  <si>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</si>
  <si>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</si>
  <si>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</si>
  <si>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</si>
  <si>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</si>
  <si>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</si>
  <si>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</si>
  <si>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</si>
  <si>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</si>
  <si>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</si>
  <si>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</si>
  <si>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</si>
  <si>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</si>
  <si>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</si>
  <si>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</si>
  <si>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</si>
  <si>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</si>
  <si>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</si>
  <si>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</si>
  <si>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</si>
  <si>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</si>
  <si>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</si>
  <si>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</si>
  <si>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</si>
  <si>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</si>
  <si>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</si>
  <si>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</si>
  <si>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</si>
  <si>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</si>
  <si>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</si>
  <si>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</si>
  <si>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</si>
  <si>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</si>
  <si>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</si>
  <si>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</si>
  <si>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</si>
  <si>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</si>
  <si>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</si>
  <si>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</si>
  <si>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</si>
  <si>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</si>
  <si>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</si>
  <si>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</si>
  <si>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</si>
  <si>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</si>
  <si>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</si>
  <si>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</si>
  <si>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</si>
  <si>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</si>
  <si>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</si>
  <si>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</si>
  <si>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</si>
  <si>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</si>
  <si>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</si>
  <si>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</si>
  <si>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</si>
  <si>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</si>
  <si>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</si>
  <si>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</si>
  <si>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</si>
  <si>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</si>
  <si>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</si>
  <si>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</si>
  <si>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</si>
  <si>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</si>
  <si>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</si>
  <si>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</si>
  <si>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</si>
  <si>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</si>
  <si>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</si>
  <si>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</si>
  <si>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</si>
  <si>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</si>
  <si>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</si>
  <si>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</si>
  <si>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</si>
  <si>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</si>
  <si>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</si>
  <si>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</si>
  <si>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</si>
  <si>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</si>
  <si>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</si>
  <si>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</si>
  <si>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</si>
  <si>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</si>
  <si>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</si>
  <si>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</si>
  <si>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</si>
  <si>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</si>
  <si>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</si>
  <si>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</si>
  <si>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</si>
  <si>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</si>
  <si>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</si>
  <si>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</si>
  <si>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</si>
  <si>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</si>
  <si>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</si>
  <si>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</si>
  <si>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</si>
  <si>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</si>
  <si>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</si>
  <si>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</si>
  <si>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</si>
  <si>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</si>
  <si>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</si>
  <si>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</si>
  <si>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</si>
  <si>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</si>
  <si>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</si>
  <si>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</si>
  <si>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</si>
  <si>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</si>
  <si>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</si>
  <si>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</si>
  <si>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</si>
  <si>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</si>
  <si>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</si>
  <si>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</si>
  <si>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</si>
  <si>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</si>
  <si>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</si>
  <si>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</si>
  <si>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</si>
  <si>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</si>
  <si>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</si>
  <si>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</si>
  <si>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</si>
  <si>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</si>
  <si>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</si>
  <si>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</si>
  <si>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</si>
  <si>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</si>
  <si>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</si>
  <si>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</si>
  <si>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</si>
  <si>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</si>
  <si>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</si>
  <si>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</si>
  <si>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</si>
  <si>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</si>
  <si>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</si>
  <si>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</si>
  <si>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</si>
  <si>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</si>
  <si>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</si>
  <si>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</si>
  <si>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</si>
  <si>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</si>
  <si>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</si>
  <si>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</si>
  <si>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</si>
  <si>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</si>
  <si>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</si>
  <si>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</si>
  <si>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</si>
  <si>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</si>
  <si>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</si>
  <si>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</si>
  <si>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</si>
  <si>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</si>
  <si>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</si>
  <si>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</si>
  <si>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</si>
  <si>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</si>
  <si>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</si>
  <si>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</si>
  <si>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</si>
  <si>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</si>
  <si>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</si>
  <si>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</si>
  <si>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</si>
  <si>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</si>
  <si>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</si>
  <si>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</si>
  <si>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</si>
  <si>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</si>
  <si>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</si>
  <si>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</si>
  <si>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</si>
  <si>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</si>
  <si>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</si>
  <si>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202 03027 03 0200 151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</si>
  <si>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</si>
  <si>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</si>
  <si>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</si>
  <si>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</si>
  <si>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</si>
  <si>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</si>
  <si>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</si>
  <si>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</si>
  <si>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</si>
  <si>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</si>
  <si>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</si>
  <si>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</si>
  <si>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</si>
  <si>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</si>
  <si>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</si>
  <si>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</si>
  <si>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</si>
  <si>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</si>
  <si>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</si>
  <si>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</si>
  <si>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</si>
  <si>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</si>
  <si>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</si>
  <si>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</si>
  <si>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</si>
  <si>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</si>
  <si>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</si>
  <si>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</si>
  <si>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</si>
  <si>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</si>
  <si>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</si>
  <si>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</si>
  <si>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</si>
  <si>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</si>
  <si>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</si>
  <si>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</si>
  <si>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</si>
  <si>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</si>
  <si>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</si>
  <si>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</si>
  <si>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</si>
  <si>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</si>
  <si>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</si>
  <si>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</si>
  <si>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</si>
  <si>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</si>
  <si>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</si>
  <si>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</si>
  <si>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</si>
  <si>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</si>
  <si>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</si>
  <si>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</si>
  <si>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</si>
  <si>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</si>
  <si>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</si>
  <si>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</si>
  <si>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</si>
  <si>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</si>
  <si>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</si>
  <si>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</si>
  <si>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</si>
  <si>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</si>
  <si>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</si>
  <si>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</si>
  <si>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</si>
  <si>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</si>
  <si>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</si>
  <si>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</si>
  <si>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</si>
  <si>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</si>
  <si>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</si>
  <si>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</si>
  <si>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</si>
  <si>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</si>
  <si>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</si>
  <si>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</si>
  <si>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</si>
  <si>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</si>
  <si>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</si>
  <si>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795 01 01</t>
  </si>
  <si>
    <t>795 01 02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</si>
  <si>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</si>
  <si>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</si>
  <si>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</si>
  <si>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</si>
  <si>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</si>
  <si>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</si>
  <si>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</si>
  <si>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</si>
  <si>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</si>
  <si>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</si>
  <si>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</si>
  <si>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</si>
  <si>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</si>
  <si>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</si>
  <si>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</si>
  <si>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</si>
  <si>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</si>
  <si>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</si>
  <si>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</si>
  <si>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</si>
  <si>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</si>
  <si>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</si>
  <si>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</si>
  <si>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</si>
  <si>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</si>
  <si>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</si>
  <si>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</si>
  <si>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</si>
  <si>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</si>
  <si>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</si>
  <si>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</si>
  <si>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</si>
  <si>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</si>
  <si>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</si>
  <si>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</si>
  <si>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</si>
  <si>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</si>
  <si>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</si>
  <si>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</si>
  <si>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</si>
  <si>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</si>
  <si>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</si>
  <si>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</si>
  <si>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</si>
  <si>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</si>
  <si>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</si>
  <si>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</si>
  <si>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</si>
  <si>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</si>
  <si>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</si>
  <si>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</si>
  <si>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</si>
  <si>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</si>
  <si>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</si>
  <si>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</si>
  <si>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</si>
  <si>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</si>
  <si>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</si>
  <si>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</si>
  <si>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</si>
  <si>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</si>
  <si>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</si>
  <si>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</si>
  <si>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</si>
  <si>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</si>
  <si>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</si>
  <si>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</si>
  <si>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</si>
  <si>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</si>
  <si>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</si>
  <si>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</si>
  <si>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</si>
  <si>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</si>
  <si>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</si>
  <si>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</si>
  <si>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</si>
  <si>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</si>
  <si>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</si>
  <si>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</si>
  <si>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</si>
  <si>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</si>
  <si>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</si>
  <si>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</si>
  <si>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</si>
  <si>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</si>
  <si>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</si>
  <si>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</si>
  <si>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</si>
  <si>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</si>
  <si>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</si>
  <si>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</si>
  <si>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</si>
  <si>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</si>
  <si>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</si>
  <si>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</si>
  <si>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</si>
  <si>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</si>
  <si>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</si>
  <si>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</si>
  <si>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</si>
  <si>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</si>
  <si>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</si>
  <si>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</si>
  <si>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</si>
  <si>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</si>
  <si>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</si>
  <si>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</si>
  <si>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</si>
  <si>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</si>
  <si>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</si>
  <si>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</si>
  <si>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</si>
  <si>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</si>
  <si>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</si>
  <si>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</si>
  <si>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</si>
  <si>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</si>
  <si>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</si>
  <si>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</si>
  <si>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</si>
  <si>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</si>
  <si>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</si>
  <si>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</si>
  <si>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</si>
  <si>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</si>
  <si>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</si>
  <si>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</si>
  <si>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</si>
  <si>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</si>
  <si>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</si>
  <si>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</si>
  <si>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</si>
  <si>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</si>
  <si>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</si>
  <si>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</si>
  <si>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</si>
  <si>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</si>
  <si>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</si>
  <si>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</si>
  <si>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</si>
  <si>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</si>
  <si>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</si>
  <si>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</si>
  <si>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</si>
  <si>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</si>
  <si>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</si>
  <si>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</si>
  <si>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</si>
  <si>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</si>
  <si>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</si>
  <si>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</si>
  <si>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</si>
  <si>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</si>
  <si>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</si>
  <si>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</si>
  <si>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</si>
  <si>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</si>
  <si>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</si>
  <si>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</si>
  <si>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</si>
  <si>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</si>
  <si>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</si>
  <si>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</si>
  <si>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</si>
  <si>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</si>
  <si>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</si>
  <si>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</si>
  <si>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</si>
  <si>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</si>
  <si>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</si>
  <si>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</si>
  <si>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</si>
  <si>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</si>
  <si>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</si>
  <si>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</si>
  <si>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</si>
  <si>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</si>
  <si>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</si>
  <si>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</si>
  <si>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</si>
  <si>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</si>
  <si>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</si>
  <si>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</si>
  <si>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</si>
  <si>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</si>
  <si>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</si>
  <si>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</si>
  <si>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</si>
  <si>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</si>
  <si>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</si>
  <si>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</si>
  <si>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</si>
  <si>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</si>
  <si>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</si>
  <si>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</si>
  <si>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</si>
  <si>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</si>
  <si>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</si>
  <si>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</si>
  <si>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</si>
  <si>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</si>
  <si>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</si>
  <si>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</si>
  <si>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</si>
  <si>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</si>
  <si>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</si>
  <si>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</si>
  <si>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</si>
  <si>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</si>
  <si>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</si>
  <si>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</si>
  <si>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</si>
  <si>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</si>
  <si>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</si>
  <si>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</si>
  <si>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</si>
  <si>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</si>
  <si>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</si>
  <si>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</si>
  <si>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</si>
  <si>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</si>
  <si>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</si>
  <si>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</si>
  <si>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 xml:space="preserve">Доходы  местного бюджета Муниципального образования МО Озеро Долгое 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</si>
  <si>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</si>
  <si>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</si>
  <si>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</si>
  <si>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</si>
  <si>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</si>
  <si>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</si>
  <si>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</si>
  <si>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</si>
  <si>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</si>
  <si>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</si>
  <si>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</si>
  <si>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</si>
  <si>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</si>
  <si>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</si>
  <si>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</si>
  <si>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</si>
  <si>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</si>
  <si>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</si>
  <si>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</si>
  <si>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</si>
  <si>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</si>
  <si>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</si>
  <si>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</si>
  <si>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</si>
  <si>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</si>
  <si>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</si>
  <si>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</si>
  <si>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</si>
  <si>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</si>
  <si>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</si>
  <si>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</si>
  <si>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</si>
  <si>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</si>
  <si>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</si>
  <si>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</si>
  <si>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</si>
  <si>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</si>
  <si>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</si>
  <si>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</si>
  <si>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</si>
  <si>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</si>
  <si>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</si>
  <si>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</si>
  <si>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</si>
  <si>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</si>
  <si>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</si>
  <si>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</si>
  <si>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</si>
  <si>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</si>
  <si>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</si>
  <si>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</si>
  <si>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</si>
  <si>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</si>
  <si>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</si>
  <si>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</si>
  <si>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</si>
  <si>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</si>
  <si>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</si>
  <si>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</si>
  <si>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</si>
  <si>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</si>
  <si>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</si>
  <si>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</si>
  <si>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</si>
  <si>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</si>
  <si>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</si>
  <si>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</si>
  <si>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</si>
  <si>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</si>
  <si>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</si>
  <si>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</si>
  <si>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</si>
  <si>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</si>
  <si>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</si>
  <si>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</si>
  <si>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</si>
  <si>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</si>
  <si>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</si>
  <si>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</si>
  <si>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</si>
  <si>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</si>
  <si>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</si>
  <si>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</si>
  <si>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</si>
  <si>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</si>
  <si>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</si>
  <si>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</si>
  <si>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</si>
  <si>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</si>
  <si>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</si>
  <si>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</si>
  <si>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</si>
  <si>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</si>
  <si>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</si>
  <si>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</si>
  <si>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</si>
  <si>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</si>
  <si>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</si>
  <si>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</si>
  <si>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</si>
  <si>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</si>
  <si>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</si>
  <si>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</si>
  <si>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</si>
  <si>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</si>
  <si>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</si>
  <si>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</si>
  <si>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</si>
  <si>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</si>
  <si>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</si>
  <si>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</si>
  <si>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</si>
  <si>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</si>
  <si>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</si>
  <si>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</si>
  <si>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</si>
  <si>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</si>
  <si>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</si>
  <si>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</si>
  <si>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</si>
  <si>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</si>
  <si>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</si>
  <si>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</si>
  <si>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</si>
  <si>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</si>
  <si>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</si>
  <si>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Оценка поступления доходов в 2008 году и прогноз на 2009 год</t>
  </si>
  <si>
    <t>план 2008</t>
  </si>
  <si>
    <t>Оценочное исполнение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</si>
  <si>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</si>
  <si>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</si>
  <si>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</si>
  <si>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</si>
  <si>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</si>
  <si>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</si>
  <si>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</si>
  <si>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</si>
  <si>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</si>
  <si>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</si>
  <si>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</si>
  <si>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</si>
  <si>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</si>
  <si>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</si>
  <si>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Источники</t>
  </si>
  <si>
    <t>Внутреннего финансирования дефицита местного бюджета</t>
  </si>
  <si>
    <t>Наименование</t>
  </si>
  <si>
    <t>Сумма (тыс. руб)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</si>
  <si>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</si>
  <si>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</si>
  <si>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</si>
  <si>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</si>
  <si>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</si>
  <si>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</si>
  <si>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</si>
  <si>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</si>
  <si>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</si>
  <si>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</si>
  <si>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</si>
  <si>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</si>
  <si>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</si>
  <si>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</si>
  <si>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</si>
  <si>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</si>
  <si>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</si>
  <si>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</si>
  <si>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</si>
  <si>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</si>
  <si>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</si>
  <si>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</si>
  <si>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</si>
  <si>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</si>
  <si>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</si>
  <si>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</si>
  <si>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</si>
  <si>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</si>
  <si>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</si>
  <si>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</si>
  <si>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</si>
  <si>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</si>
  <si>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</si>
  <si>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</si>
  <si>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</si>
  <si>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</si>
  <si>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</si>
  <si>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</si>
  <si>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</si>
  <si>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</si>
  <si>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</si>
  <si>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</si>
  <si>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</si>
  <si>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</si>
  <si>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</si>
  <si>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</si>
  <si>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</si>
  <si>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</si>
  <si>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</si>
  <si>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</si>
  <si>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</si>
  <si>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</si>
  <si>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</si>
  <si>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</si>
  <si>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</si>
  <si>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</si>
  <si>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</si>
  <si>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</si>
  <si>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</si>
  <si>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</si>
  <si>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</si>
  <si>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</si>
  <si>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</si>
  <si>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</si>
  <si>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</si>
  <si>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</si>
  <si>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</si>
  <si>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</si>
  <si>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</si>
  <si>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</si>
  <si>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</si>
  <si>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</si>
  <si>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</si>
  <si>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</si>
  <si>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</si>
  <si>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</si>
  <si>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</si>
  <si>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</si>
  <si>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</si>
  <si>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</si>
  <si>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</si>
  <si>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</si>
  <si>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</si>
  <si>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</si>
  <si>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</si>
  <si>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</si>
  <si>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</si>
  <si>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</si>
  <si>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</si>
  <si>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</si>
  <si>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</si>
  <si>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</si>
  <si>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</si>
  <si>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</si>
  <si>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</si>
  <si>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</si>
  <si>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</si>
  <si>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</si>
  <si>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</si>
  <si>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</si>
  <si>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</si>
  <si>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</si>
  <si>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</si>
  <si>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</si>
  <si>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8.4.3</t>
  </si>
  <si>
    <t>8.4.3.1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</si>
  <si>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</si>
  <si>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</si>
  <si>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</si>
  <si>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</si>
  <si>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</si>
  <si>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</si>
  <si>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</si>
  <si>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</si>
  <si>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</si>
  <si>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</si>
  <si>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</si>
  <si>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</si>
  <si>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</si>
  <si>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</si>
  <si>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</si>
  <si>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</si>
  <si>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</si>
  <si>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</si>
  <si>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</si>
  <si>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</si>
  <si>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</si>
  <si>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</si>
  <si>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</si>
  <si>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</si>
  <si>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</si>
  <si>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</si>
  <si>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</si>
  <si>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</si>
  <si>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</si>
  <si>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</si>
  <si>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</si>
  <si>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</si>
  <si>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</si>
  <si>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</si>
  <si>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</si>
  <si>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</si>
  <si>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</si>
  <si>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</si>
  <si>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</si>
  <si>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</si>
  <si>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</si>
  <si>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</si>
  <si>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</si>
  <si>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</si>
  <si>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</si>
  <si>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</si>
  <si>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</si>
  <si>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</si>
  <si>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</si>
  <si>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</si>
  <si>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</si>
  <si>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</si>
  <si>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</si>
  <si>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</si>
  <si>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</si>
  <si>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</si>
  <si>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</si>
  <si>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</si>
  <si>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</si>
  <si>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</si>
  <si>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</si>
  <si>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</si>
  <si>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</si>
  <si>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</si>
  <si>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</si>
  <si>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</si>
  <si>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</si>
  <si>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</si>
  <si>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</si>
  <si>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</si>
  <si>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</si>
  <si>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</si>
  <si>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</si>
  <si>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</si>
  <si>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</si>
  <si>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</si>
  <si>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</si>
  <si>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</si>
  <si>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</si>
  <si>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</si>
  <si>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</si>
  <si>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</si>
  <si>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</si>
  <si>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</si>
  <si>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</si>
  <si>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</si>
  <si>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</si>
  <si>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</si>
  <si>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</si>
  <si>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</si>
  <si>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</si>
  <si>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</si>
  <si>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</si>
  <si>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</si>
  <si>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</si>
  <si>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</si>
  <si>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</si>
  <si>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</si>
  <si>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</si>
  <si>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</si>
  <si>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</si>
  <si>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</si>
  <si>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</si>
  <si>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</si>
  <si>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</si>
  <si>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</si>
  <si>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</si>
  <si>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</si>
  <si>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</si>
  <si>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</si>
  <si>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</si>
  <si>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</si>
  <si>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</si>
  <si>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</si>
  <si>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</si>
  <si>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</si>
  <si>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</si>
  <si>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</si>
  <si>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</si>
  <si>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</si>
  <si>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</si>
  <si>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</si>
  <si>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</si>
  <si>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</si>
  <si>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</si>
  <si>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</si>
  <si>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</si>
  <si>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</si>
  <si>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</si>
  <si>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</si>
  <si>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</si>
  <si>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</si>
  <si>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</si>
  <si>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</si>
  <si>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</si>
  <si>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</si>
  <si>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</si>
  <si>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</si>
  <si>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</si>
  <si>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</si>
  <si>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</si>
  <si>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</si>
  <si>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</si>
  <si>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</si>
  <si>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</si>
  <si>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</si>
  <si>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</si>
  <si>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</si>
  <si>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</si>
  <si>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</si>
  <si>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</si>
  <si>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</si>
  <si>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</si>
  <si>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</si>
  <si>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</si>
  <si>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</si>
  <si>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</si>
  <si>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</si>
  <si>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</si>
  <si>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</si>
  <si>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</si>
  <si>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</si>
  <si>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</si>
  <si>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</si>
  <si>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</si>
  <si>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</si>
  <si>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</si>
  <si>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</si>
  <si>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</si>
  <si>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</si>
  <si>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</si>
  <si>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</si>
  <si>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</si>
  <si>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</si>
  <si>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</si>
  <si>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</si>
  <si>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</si>
  <si>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</si>
  <si>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</si>
  <si>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</si>
  <si>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</si>
  <si>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</si>
  <si>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</si>
  <si>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</si>
  <si>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</si>
  <si>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</si>
  <si>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</si>
  <si>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</si>
  <si>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</si>
  <si>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</si>
  <si>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</si>
  <si>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</si>
  <si>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</si>
  <si>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</si>
  <si>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</si>
  <si>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</si>
  <si>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</si>
  <si>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</si>
  <si>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</si>
  <si>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</si>
  <si>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</si>
  <si>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</si>
  <si>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</si>
  <si>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</si>
  <si>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</si>
  <si>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</si>
  <si>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</si>
  <si>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</si>
  <si>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</si>
  <si>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</si>
  <si>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</si>
  <si>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</si>
  <si>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</si>
  <si>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</si>
  <si>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</si>
  <si>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</si>
  <si>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</si>
  <si>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</si>
  <si>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</si>
  <si>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</si>
  <si>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</si>
  <si>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</si>
  <si>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</si>
  <si>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</si>
  <si>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</si>
  <si>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</si>
  <si>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</si>
  <si>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</si>
  <si>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</si>
  <si>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</si>
  <si>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4.2.2</t>
  </si>
  <si>
    <t>6.4</t>
  </si>
  <si>
    <t>6.4.1</t>
  </si>
  <si>
    <t>6.5</t>
  </si>
  <si>
    <t>6.5.1</t>
  </si>
  <si>
    <t>7.1.1.1</t>
  </si>
  <si>
    <t>7.2</t>
  </si>
  <si>
    <t>7.2.1</t>
  </si>
  <si>
    <t>10.1.1.1</t>
  </si>
  <si>
    <t>10.1.2</t>
  </si>
  <si>
    <t>10.1.2.1</t>
  </si>
  <si>
    <t>10.1.3</t>
  </si>
  <si>
    <t>10.1.3.1</t>
  </si>
  <si>
    <t>10.1.4</t>
  </si>
  <si>
    <t>10.1.4.1</t>
  </si>
  <si>
    <t>10.2</t>
  </si>
  <si>
    <t>10.2.1</t>
  </si>
  <si>
    <t>10.2.1.1</t>
  </si>
  <si>
    <t>10.2.2</t>
  </si>
  <si>
    <t>10.2.2.1</t>
  </si>
  <si>
    <t>10.3</t>
  </si>
  <si>
    <t>10.3.1</t>
  </si>
  <si>
    <t>10.3.1.1</t>
  </si>
  <si>
    <t>10.3.2</t>
  </si>
  <si>
    <t>10.3.2.1</t>
  </si>
  <si>
    <t>10.3.3</t>
  </si>
  <si>
    <t>10.3.3.1</t>
  </si>
  <si>
    <t>10.4</t>
  </si>
  <si>
    <t>10.4.1</t>
  </si>
  <si>
    <t>10.4.1.1</t>
  </si>
  <si>
    <t>10.4.2</t>
  </si>
  <si>
    <t>10.4.2.1</t>
  </si>
  <si>
    <t>10.4.3</t>
  </si>
  <si>
    <t>10.4.3.1</t>
  </si>
  <si>
    <t>19</t>
  </si>
  <si>
    <t>19.1</t>
  </si>
  <si>
    <t>19.1.1</t>
  </si>
  <si>
    <t>795 06 00</t>
  </si>
  <si>
    <t>ЦЕЛЕВАЯ ПРОГРАММА ПО ОРГАНИЗАЦИИ И ПРОВЕДЕНИЮ ДОСУГОВЫХ МЕРОПРИЯТИЙ ДЛЯ ЖИТЕЛЕЙ МУНИЦИПАЛЬНОГО ОБРАЗОВАНИЯ</t>
  </si>
  <si>
    <t>местного бюджета МО МО Озеро Долгое на 2014 год</t>
  </si>
  <si>
    <t>ИЗБИРАТЕЛЬНАЯ КОМИССИЯ МО МО ОЗЕРО ДОЛГОЕ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</si>
  <si>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</si>
  <si>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</si>
  <si>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</si>
  <si>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</si>
  <si>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</si>
  <si>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</si>
  <si>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</si>
  <si>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</si>
  <si>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</si>
  <si>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</si>
  <si>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</si>
  <si>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</si>
  <si>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О107</t>
  </si>
  <si>
    <t>Пособия, компенсации, меры социальной поддержки по публичным нормативным обязательствам</t>
  </si>
  <si>
    <t>2014г</t>
  </si>
  <si>
    <t>2016г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</si>
  <si>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</si>
  <si>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</si>
  <si>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</si>
  <si>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</si>
  <si>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</si>
  <si>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</si>
  <si>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</si>
  <si>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</si>
  <si>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</si>
  <si>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</si>
  <si>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</si>
  <si>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</si>
  <si>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</si>
  <si>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</si>
  <si>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</si>
  <si>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</si>
  <si>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</si>
  <si>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</si>
  <si>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</si>
  <si>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</si>
  <si>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</si>
  <si>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</si>
  <si>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</si>
  <si>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</si>
  <si>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</si>
  <si>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</si>
  <si>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</si>
  <si>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</si>
  <si>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</si>
  <si>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</si>
  <si>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</si>
  <si>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</si>
  <si>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1 16 33030 03 0000 140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</si>
  <si>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</si>
  <si>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</si>
  <si>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</si>
  <si>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</si>
  <si>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</si>
  <si>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</si>
  <si>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3.26</t>
  </si>
  <si>
    <t>3.26.1</t>
  </si>
  <si>
    <t>Приложение № 3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</si>
  <si>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</si>
  <si>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</si>
  <si>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</si>
  <si>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</si>
  <si>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</si>
  <si>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</si>
  <si>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</si>
  <si>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>05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</si>
  <si>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</si>
  <si>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</si>
  <si>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</si>
  <si>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</si>
  <si>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</si>
  <si>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</si>
  <si>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</si>
  <si>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</si>
  <si>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</si>
  <si>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1.4.1</t>
  </si>
  <si>
    <t>1.2.2</t>
  </si>
  <si>
    <t>1.2.3</t>
  </si>
  <si>
    <t>1.3.2</t>
  </si>
  <si>
    <t>1.3.3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</si>
  <si>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</si>
  <si>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</si>
  <si>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</si>
  <si>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</si>
  <si>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</si>
  <si>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</si>
  <si>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</si>
  <si>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</si>
  <si>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</si>
  <si>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</si>
  <si>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</si>
  <si>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</si>
  <si>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</si>
  <si>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</si>
  <si>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</si>
  <si>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</si>
  <si>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</si>
  <si>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</si>
  <si>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</si>
  <si>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</si>
  <si>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</si>
  <si>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</si>
  <si>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</si>
  <si>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</si>
  <si>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</si>
  <si>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</si>
  <si>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</si>
  <si>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</si>
  <si>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</si>
  <si>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</si>
  <si>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</si>
  <si>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</si>
  <si>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</si>
  <si>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</si>
  <si>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</si>
  <si>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</si>
  <si>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</si>
  <si>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</si>
  <si>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</si>
  <si>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</si>
  <si>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</si>
  <si>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</si>
  <si>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</si>
  <si>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Рева О.В.</t>
  </si>
  <si>
    <t>Начальник планово-бюджетного отдела МА МО МО Озеро Долгое                                             Рева О.В.</t>
  </si>
  <si>
    <t>к бюджету от 23.10.2013.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</si>
  <si>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</si>
  <si>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</si>
  <si>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</si>
  <si>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Утверждено Решением ИКМО Озеро Долгое</t>
  </si>
  <si>
    <t>Иные пенсии, социальные доплаты к пенсиям</t>
  </si>
  <si>
    <t>Утверждено Распоряжением МА МО МО Озеро Долгое</t>
  </si>
  <si>
    <t xml:space="preserve">Сводная бюджетная роспись  МО МО Озеро Долгое </t>
  </si>
  <si>
    <t>0111</t>
  </si>
  <si>
    <t>0401</t>
  </si>
  <si>
    <t>0804</t>
  </si>
  <si>
    <t>132.1</t>
  </si>
  <si>
    <t>17.1.2</t>
  </si>
  <si>
    <t>17.2</t>
  </si>
  <si>
    <t>17.2.1</t>
  </si>
  <si>
    <t>17.3</t>
  </si>
  <si>
    <t>17.3.1</t>
  </si>
  <si>
    <t>к бюджету от 19.02.2014</t>
  </si>
  <si>
    <t>№ 6 от 09.01.2014</t>
  </si>
  <si>
    <t>Уплата прочих налогов,сборов и иных платежей</t>
  </si>
  <si>
    <t>к бюджету от 23.04.2014</t>
  </si>
  <si>
    <t>1.2.3.3</t>
  </si>
  <si>
    <t>к бюджету от 14.05.2014</t>
  </si>
  <si>
    <t>с измен. № 13 от 14.05.2014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</si>
  <si>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</si>
  <si>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>Приложение</t>
  </si>
  <si>
    <t>с измен. № 01-04/35 от 07.05.2014</t>
  </si>
  <si>
    <t>на 2015 год</t>
  </si>
  <si>
    <t>местного бюджета МО МО Озеро Долгое на 2015 год</t>
  </si>
  <si>
    <t>Уплата иных платежей</t>
  </si>
  <si>
    <t>1.2.</t>
  </si>
  <si>
    <t>968 01 05 0201 03 0000 510</t>
  </si>
  <si>
    <t>968 01 05 0201 03 0000 610</t>
  </si>
  <si>
    <t>Шелгунова М.В.</t>
  </si>
  <si>
    <t>РАСХОДЫ НА ОСУЩЕСТВЛЕНИЕ ЗАЩИТЫ ПРАВ ПОТРЕБИТЕЛЕЙ</t>
  </si>
  <si>
    <t>092 10 00</t>
  </si>
  <si>
    <t>795 07 00</t>
  </si>
  <si>
    <t>795 08 00</t>
  </si>
  <si>
    <t>795 09 00</t>
  </si>
  <si>
    <t>795 10 00</t>
  </si>
  <si>
    <t>795 03 00</t>
  </si>
  <si>
    <t>795 11 00</t>
  </si>
  <si>
    <t>ЛИКВИДАЦИЯ НЕСАНКЦИОНИРОВАННЫХ СВАЛОК БЫТОВЫХ ОТХОДОВ, МУСОРА, УБОРКА ТЕРРИТОРИЙ, ВОДНЫХ АКВАТОРИЙ, ТУПИКОВ И ПРОЕЗДОВ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</si>
  <si>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t>
  </si>
  <si>
    <t>ОЗЕЛЕНЕНИЕ , СОДЕРЖАНИЕ И РЕМОНТ ТЕРРИТОРИЙ  ЗЕЛЕНЫХ НАСАЖДЕНИЙ ВНУТРИКВАРТАЛЬНОГО ОЗЕЛЕНЕНИЯ, КОМПЕНСАЦИОННОЕ ОЗЕЛЕНЕНИЕ</t>
  </si>
  <si>
    <t xml:space="preserve">Перечень и коды целевых статей, применяемых в местном бюджете МО МО Озеро Долгое на 2015 год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</si>
  <si>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</si>
  <si>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002  80 10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</si>
  <si>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</si>
  <si>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</si>
  <si>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</si>
  <si>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002  80 31</t>
  </si>
  <si>
    <t xml:space="preserve">002 80 31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</si>
  <si>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</si>
  <si>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</si>
  <si>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</si>
  <si>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</si>
  <si>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 xml:space="preserve">Пособия, компенсации и иные социальные выплаты
гражданам, кроме публичных нормативных обязательств
</t>
  </si>
  <si>
    <t>1.3.2.4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</si>
  <si>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и муниципальных служащих  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</si>
  <si>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</si>
  <si>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Расходы на организацию профессионального образования и дополнительного профессионального образования для  муниципальных служащих  </t>
  </si>
  <si>
    <t>1.5.2</t>
  </si>
  <si>
    <t>1.5.3</t>
  </si>
  <si>
    <t>1.5.4</t>
  </si>
  <si>
    <t>1.5.5</t>
  </si>
  <si>
    <t>1.5.6</t>
  </si>
  <si>
    <t>1.5.7</t>
  </si>
  <si>
    <t>1.5.2.1</t>
  </si>
  <si>
    <t>1.5.3.1</t>
  </si>
  <si>
    <t>1.5.4.1</t>
  </si>
  <si>
    <t>1.5.5.1</t>
  </si>
  <si>
    <t>1.5.6.1</t>
  </si>
  <si>
    <t>1.5.7.1</t>
  </si>
  <si>
    <t>1.2.4</t>
  </si>
  <si>
    <t xml:space="preserve">в                        </t>
  </si>
  <si>
    <t>Муниципального образования МО Озеро Долгое на 2015 год</t>
  </si>
  <si>
    <t>Распределение бюджетных ассигнований по 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местного бюджета Муниципального образования МО Озеро Долгое</t>
  </si>
  <si>
    <t>№ 01-04/74 от 15.10.2014</t>
  </si>
  <si>
    <t>на 2015-2017 гг</t>
  </si>
  <si>
    <t>РАСХОДЫ НА ОСУЩЕСТВЛЕНИЕ ЗАКУПОК ТОВАРОВ, РАБОТ, УСЛУГ ДЛЯ ОБЕСПЕЧЕНИЯ МУНИЦИПАЛЬНЫХ НУЖД</t>
  </si>
  <si>
    <t>2015</t>
  </si>
  <si>
    <t>2017г</t>
  </si>
  <si>
    <t>1200</t>
  </si>
  <si>
    <t>1100</t>
  </si>
  <si>
    <t>1102</t>
  </si>
  <si>
    <t>1202</t>
  </si>
  <si>
    <t>№ 01-04/66 от 15.09.2014</t>
  </si>
  <si>
    <t>20</t>
  </si>
  <si>
    <t>40</t>
  </si>
  <si>
    <t>1.3.</t>
  </si>
  <si>
    <t>1.3.4</t>
  </si>
  <si>
    <t>1.3.5</t>
  </si>
  <si>
    <t>1.3.6</t>
  </si>
  <si>
    <t>1.3.7</t>
  </si>
  <si>
    <t>2.1.</t>
  </si>
  <si>
    <t>5.2.3</t>
  </si>
  <si>
    <t>5.2.4</t>
  </si>
  <si>
    <t>5.2.5</t>
  </si>
  <si>
    <t>6.2.2</t>
  </si>
  <si>
    <t xml:space="preserve">             Приложение  № 5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</si>
  <si>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</si>
  <si>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</si>
  <si>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 20 от 03.12.2014г.</t>
  </si>
  <si>
    <t>№ 20 от 03.12.2014 г.</t>
  </si>
  <si>
    <t>№20 от 03.12.2014 г.</t>
  </si>
  <si>
    <t>4.2.3</t>
  </si>
  <si>
    <t>4.2.4</t>
  </si>
  <si>
    <t>по расходам и источникам финансирования дефицита бюджета на 2015 год</t>
  </si>
  <si>
    <t>№ 02-02-01 от 12.01.2015</t>
  </si>
  <si>
    <t>№ 02-03-01 от 12.01.2015</t>
  </si>
  <si>
    <t>№ 20 от03.12.2014</t>
  </si>
  <si>
    <t>№20 от  03.12.2014 г.</t>
  </si>
  <si>
    <t>12.3</t>
  </si>
  <si>
    <t>12.3.1</t>
  </si>
  <si>
    <t>12.4</t>
  </si>
  <si>
    <t>12.4.1</t>
  </si>
  <si>
    <t>12.5</t>
  </si>
  <si>
    <t>12.5.1</t>
  </si>
  <si>
    <t>15.2</t>
  </si>
  <si>
    <t>15.2.1</t>
  </si>
  <si>
    <t>КОМПЕНСАЦИЯ  ДЕПУТАТАМ, ОСУЩЕСТВЛЯЮЩИМ СВОИ ПОЛНОМОЧИЯ НА НЕПОСТОЯННОЙ ОСНОВЕ</t>
  </si>
  <si>
    <t>№ 02-02-02 от 14.01.2015</t>
  </si>
  <si>
    <t>№ 02-03-02 от 14.01.2015</t>
  </si>
  <si>
    <t>Приложение № 1</t>
  </si>
  <si>
    <t>№___ от 14.01.2015 г.</t>
  </si>
  <si>
    <t>Приложение №3</t>
  </si>
  <si>
    <r>
      <t xml:space="preserve">НА  </t>
    </r>
    <r>
      <rPr>
        <b/>
        <sz val="12"/>
        <rFont val="Times New Roman"/>
        <family val="1"/>
        <charset val="204"/>
      </rPr>
      <t xml:space="preserve">2015 </t>
    </r>
    <r>
      <rPr>
        <sz val="12"/>
        <rFont val="Times New Roman"/>
        <family val="1"/>
        <charset val="204"/>
      </rPr>
      <t xml:space="preserve"> ГОД</t>
    </r>
  </si>
  <si>
    <t>___________________/Шелгунова М.В./                                      ________________/Рева О.В./</t>
  </si>
  <si>
    <t>Очередной финансовый год (тыс.руб)</t>
  </si>
  <si>
    <t>Плановый период (тыс.руб.)</t>
  </si>
  <si>
    <t>изм.от 03.12.2014</t>
  </si>
  <si>
    <t>изм. от 14.01.2015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</si>
  <si>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</si>
  <si>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</si>
  <si>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</si>
  <si>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</si>
  <si>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</si>
  <si>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</si>
  <si>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</si>
  <si>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>№ 02-03-03 от 30.01.2015</t>
  </si>
  <si>
    <t>№ 02-03-04 от 18.02.2015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</si>
  <si>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</si>
  <si>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</si>
  <si>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t>
  </si>
  <si>
    <t>Приобретение товаров, работ, услуг в пользу граждан в целях их социального обеспечения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</si>
  <si>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</si>
  <si>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№01 от 14.01.2015 г.</t>
  </si>
  <si>
    <t>К решению  Муниципального совета</t>
  </si>
  <si>
    <t>№ 02-02-15 от 18.02.2015</t>
  </si>
  <si>
    <t>№ 02-02-18 от 24.02.2015</t>
  </si>
  <si>
    <t>№ 02-03-05 от 24.02.2015</t>
  </si>
  <si>
    <t>№ 02-03-06 от 10.03.2015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</si>
  <si>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t>
  </si>
  <si>
    <t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</si>
  <si>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</si>
  <si>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</si>
  <si>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</si>
  <si>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</si>
  <si>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</si>
  <si>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</si>
  <si>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</si>
  <si>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</si>
  <si>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Ведомственная целевая программа  по участию в деятельности по профилактике правонарушений в Санкт-Петербурге на территории МО</t>
  </si>
  <si>
    <t>№ 02-03-07 от 25.03.2015</t>
  </si>
  <si>
    <t>№ 02-02-39 от 30.03.2015</t>
  </si>
  <si>
    <t>№07 от 18.02.2015 г.</t>
  </si>
  <si>
    <t>6.6</t>
  </si>
  <si>
    <t>6.6.1</t>
  </si>
  <si>
    <t>6.7</t>
  </si>
  <si>
    <t>6.7.1</t>
  </si>
  <si>
    <t>№07 от 18.02.2015</t>
  </si>
  <si>
    <t>835</t>
  </si>
  <si>
    <t>с измен. № 07 от 18.02.2015</t>
  </si>
  <si>
    <t>№ 02-03-08 от 21.04.2015</t>
  </si>
  <si>
    <t>10.1.1.2</t>
  </si>
  <si>
    <t xml:space="preserve">                                                                             местного бюджета МО МО Озеро Долгое на 2015 год                                                        в тыс.руб.</t>
  </si>
  <si>
    <t>№ 02-03-09 от 29.04.2015</t>
  </si>
  <si>
    <t>с измен. № 09 от 29.04.2015</t>
  </si>
  <si>
    <t>№09 от 29.04.2015 г.</t>
  </si>
  <si>
    <t>№ 09 от 29.04.2015 г.</t>
  </si>
  <si>
    <t>4.1.1.2</t>
  </si>
  <si>
    <t xml:space="preserve">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</si>
  <si>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</si>
  <si>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№ 02-03-10 от 21.05.2015</t>
  </si>
  <si>
    <t>№ 02-03-11 от 24.06.2015</t>
  </si>
  <si>
    <t>№ 02-02-67 от 30.06.2015</t>
  </si>
  <si>
    <t>с измен. № 16 от 24.06.2015</t>
  </si>
  <si>
    <t>№ 16 от 24.06.2015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</si>
</sst>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0.000"/>
    <numFmt numFmtId="175" formatCode="0.0"/>
    <numFmt numFmtId="177" formatCode="000000"/>
  </numFmts>
  <fonts count="12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Arial"/>
      <family val="2"/>
    </font>
    <font>
      <i/>
      <sz val="10"/>
      <name val="Times New Roman"/>
      <family val="1"/>
      <charset val="204"/>
    </font>
    <font>
      <b/>
      <i/>
      <sz val="9"/>
      <name val="Arial Cyr"/>
      <family val="2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  <charset val="204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charset val="204"/>
    </font>
    <font>
      <i/>
      <sz val="9"/>
      <name val="Times New Roman"/>
      <family val="1"/>
    </font>
    <font>
      <i/>
      <sz val="9"/>
      <color indexed="8"/>
      <name val="Arial"/>
      <family val="2"/>
    </font>
    <font>
      <i/>
      <sz val="9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  <charset val="204"/>
    </font>
    <font>
      <sz val="11"/>
      <name val="Arial Cyr"/>
      <family val="2"/>
      <charset val="204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b/>
      <sz val="12"/>
      <name val="Arial"/>
      <family val="2"/>
    </font>
    <font>
      <i/>
      <sz val="11"/>
      <name val="Arial Cyr"/>
      <family val="2"/>
      <charset val="204"/>
    </font>
    <font>
      <i/>
      <sz val="12"/>
      <name val="Arial Cyr"/>
      <family val="2"/>
      <charset val="204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name val="Arial Cyr"/>
      <charset val="204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charset val="204"/>
    </font>
    <font>
      <b/>
      <sz val="8"/>
      <name val="Arial Cyr"/>
      <charset val="204"/>
    </font>
    <font>
      <i/>
      <sz val="11"/>
      <name val="Arial Cyr"/>
      <charset val="204"/>
    </font>
    <font>
      <b/>
      <i/>
      <sz val="9"/>
      <name val="Arial Cyr"/>
      <charset val="204"/>
    </font>
    <font>
      <i/>
      <sz val="11"/>
      <name val="Times New Roman"/>
      <family val="1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</font>
    <font>
      <b/>
      <i/>
      <sz val="9"/>
      <name val="Times New Roman"/>
      <family val="1"/>
      <charset val="204"/>
    </font>
    <font>
      <i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i/>
      <sz val="11"/>
      <name val="Times New Roman"/>
      <family val="1"/>
      <charset val="204"/>
    </font>
    <font>
      <sz val="11"/>
      <name val="Arial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6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i/>
      <sz val="9"/>
      <color theme="1"/>
      <name val="Arial Cyr"/>
      <family val="2"/>
      <charset val="204"/>
    </font>
    <font>
      <i/>
      <sz val="8"/>
      <color theme="1"/>
      <name val="Arial Cyr"/>
      <family val="2"/>
      <charset val="204"/>
    </font>
    <font>
      <i/>
      <sz val="8"/>
      <color rgb="FFFF000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sz val="10"/>
      <color rgb="FFFF0000"/>
      <name val="Arial Cyr"/>
      <charset val="204"/>
    </font>
    <font>
      <i/>
      <sz val="8"/>
      <color rgb="FFFF0000"/>
      <name val="Arial Cyr"/>
      <charset val="204"/>
    </font>
    <font>
      <i/>
      <sz val="9"/>
      <color rgb="FFFF0000"/>
      <name val="Arial Cyr"/>
      <charset val="204"/>
    </font>
    <font>
      <b/>
      <sz val="10"/>
      <color theme="7"/>
      <name val="Arial Cyr"/>
      <charset val="204"/>
    </font>
    <font>
      <b/>
      <sz val="9"/>
      <color theme="7"/>
      <name val="Arial Cyr"/>
      <charset val="204"/>
    </font>
    <font>
      <b/>
      <i/>
      <sz val="9"/>
      <color theme="7"/>
      <name val="Arial Cyr"/>
      <charset val="204"/>
    </font>
    <font>
      <i/>
      <sz val="10"/>
      <color theme="7"/>
      <name val="Arial Cyr"/>
      <charset val="204"/>
    </font>
    <font>
      <i/>
      <sz val="9"/>
      <color theme="7"/>
      <name val="Arial Cyr"/>
      <charset val="204"/>
    </font>
    <font>
      <sz val="10"/>
      <color theme="7"/>
      <name val="Arial Cyr"/>
      <charset val="204"/>
    </font>
    <font>
      <i/>
      <sz val="8"/>
      <color theme="7"/>
      <name val="Arial Cyr"/>
      <charset val="204"/>
    </font>
    <font>
      <sz val="9"/>
      <color theme="7"/>
      <name val="Arial Cyr"/>
      <charset val="204"/>
    </font>
    <font>
      <b/>
      <sz val="8"/>
      <color theme="7"/>
      <name val="Arial Cyr"/>
      <charset val="204"/>
    </font>
    <font>
      <b/>
      <sz val="11"/>
      <color theme="7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88">
    <xf numFmtId="0" fontId="0" fillId="0" borderId="0" xfId="0"/>
    <xf numFmtId="0" fontId="2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21" fillId="0" borderId="0" xfId="0" applyFont="1"/>
    <xf numFmtId="0" fontId="25" fillId="0" borderId="0" xfId="0" applyFont="1"/>
    <xf numFmtId="0" fontId="23" fillId="0" borderId="0" xfId="0" applyFont="1" applyAlignment="1">
      <alignment horizontal="right"/>
    </xf>
    <xf numFmtId="0" fontId="23" fillId="3" borderId="4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0" fontId="0" fillId="6" borderId="8" xfId="0" applyFill="1" applyBorder="1"/>
    <xf numFmtId="0" fontId="27" fillId="0" borderId="0" xfId="0" applyFont="1"/>
    <xf numFmtId="0" fontId="0" fillId="0" borderId="0" xfId="0" applyBorder="1"/>
    <xf numFmtId="49" fontId="49" fillId="7" borderId="11" xfId="0" applyNumberFormat="1" applyFont="1" applyFill="1" applyBorder="1" applyAlignment="1">
      <alignment horizontal="justify" vertical="justify" wrapText="1"/>
    </xf>
    <xf numFmtId="49" fontId="49" fillId="7" borderId="12" xfId="0" applyNumberFormat="1" applyFont="1" applyFill="1" applyBorder="1" applyAlignment="1">
      <alignment horizontal="justify" vertical="justify" wrapTex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3" fillId="7" borderId="15" xfId="0" applyNumberFormat="1" applyFont="1" applyFill="1" applyBorder="1" applyAlignment="1">
      <alignment horizontal="center" vertical="center"/>
    </xf>
    <xf numFmtId="49" fontId="14" fillId="7" borderId="15" xfId="0" applyNumberFormat="1" applyFont="1" applyFill="1" applyBorder="1" applyAlignment="1">
      <alignment horizontal="center" vertical="center"/>
    </xf>
    <xf numFmtId="49" fontId="2" fillId="9" borderId="16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0" fontId="25" fillId="0" borderId="0" xfId="0" applyFont="1" applyAlignment="1"/>
    <xf numFmtId="0" fontId="40" fillId="0" borderId="0" xfId="0" applyFont="1" applyAlignment="1">
      <alignment horizontal="right"/>
    </xf>
    <xf numFmtId="49" fontId="14" fillId="7" borderId="17" xfId="0" applyNumberFormat="1" applyFont="1" applyFill="1" applyBorder="1" applyAlignment="1">
      <alignment horizontal="center" vertical="center"/>
    </xf>
    <xf numFmtId="0" fontId="44" fillId="0" borderId="0" xfId="0" applyFont="1"/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23" fillId="3" borderId="8" xfId="0" applyFont="1" applyFill="1" applyBorder="1" applyAlignment="1">
      <alignment vertical="top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33" fillId="5" borderId="6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vertical="top" wrapText="1"/>
    </xf>
    <xf numFmtId="49" fontId="46" fillId="0" borderId="5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49" fontId="23" fillId="0" borderId="29" xfId="0" applyNumberFormat="1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49" fontId="56" fillId="0" borderId="5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49" fontId="46" fillId="7" borderId="21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18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49" fontId="47" fillId="0" borderId="33" xfId="0" applyNumberFormat="1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9" fontId="52" fillId="0" borderId="5" xfId="0" applyNumberFormat="1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7" fillId="5" borderId="8" xfId="0" applyFont="1" applyFill="1" applyBorder="1" applyAlignment="1">
      <alignment vertical="top" wrapText="1"/>
    </xf>
    <xf numFmtId="0" fontId="0" fillId="0" borderId="39" xfId="0" applyBorder="1"/>
    <xf numFmtId="0" fontId="0" fillId="6" borderId="4" xfId="0" applyFill="1" applyBorder="1"/>
    <xf numFmtId="0" fontId="47" fillId="0" borderId="3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0" fillId="0" borderId="40" xfId="0" applyNumberFormat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175" fontId="2" fillId="4" borderId="2" xfId="0" applyNumberFormat="1" applyFont="1" applyFill="1" applyBorder="1" applyAlignment="1">
      <alignment horizontal="center" vertical="center"/>
    </xf>
    <xf numFmtId="175" fontId="2" fillId="2" borderId="2" xfId="0" applyNumberFormat="1" applyFont="1" applyFill="1" applyBorder="1" applyAlignment="1">
      <alignment horizontal="center" vertical="center"/>
    </xf>
    <xf numFmtId="175" fontId="2" fillId="4" borderId="9" xfId="0" applyNumberFormat="1" applyFont="1" applyFill="1" applyBorder="1" applyAlignment="1">
      <alignment horizontal="center" vertical="center"/>
    </xf>
    <xf numFmtId="0" fontId="0" fillId="4" borderId="0" xfId="0" applyFill="1"/>
    <xf numFmtId="175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1" fillId="0" borderId="0" xfId="0" applyFont="1" applyFill="1" applyBorder="1" applyAlignment="1">
      <alignment vertical="top" wrapText="1"/>
    </xf>
    <xf numFmtId="1" fontId="0" fillId="0" borderId="2" xfId="0" applyNumberForma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/>
    <xf numFmtId="1" fontId="0" fillId="0" borderId="2" xfId="0" applyNumberFormat="1" applyBorder="1"/>
    <xf numFmtId="14" fontId="0" fillId="0" borderId="0" xfId="0" applyNumberFormat="1" applyAlignment="1">
      <alignment horizontal="right"/>
    </xf>
    <xf numFmtId="2" fontId="0" fillId="0" borderId="0" xfId="0" applyNumberFormat="1" applyBorder="1"/>
    <xf numFmtId="2" fontId="0" fillId="0" borderId="0" xfId="0" applyNumberFormat="1"/>
    <xf numFmtId="0" fontId="0" fillId="0" borderId="40" xfId="0" applyBorder="1"/>
    <xf numFmtId="0" fontId="0" fillId="0" borderId="17" xfId="0" applyBorder="1"/>
    <xf numFmtId="0" fontId="0" fillId="0" borderId="42" xfId="0" applyBorder="1"/>
    <xf numFmtId="2" fontId="0" fillId="0" borderId="42" xfId="0" applyNumberFormat="1" applyBorder="1"/>
    <xf numFmtId="0" fontId="2" fillId="0" borderId="43" xfId="0" applyFont="1" applyBorder="1"/>
    <xf numFmtId="49" fontId="24" fillId="0" borderId="0" xfId="0" applyNumberFormat="1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75" fontId="1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5" fontId="9" fillId="0" borderId="2" xfId="0" applyNumberFormat="1" applyFont="1" applyFill="1" applyBorder="1" applyAlignment="1">
      <alignment horizontal="center" vertical="center"/>
    </xf>
    <xf numFmtId="175" fontId="13" fillId="0" borderId="2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9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3" fillId="7" borderId="16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38" fillId="8" borderId="2" xfId="0" applyNumberFormat="1" applyFont="1" applyFill="1" applyBorder="1" applyAlignment="1">
      <alignment horizontal="center" vertical="center" wrapText="1"/>
    </xf>
    <xf numFmtId="175" fontId="16" fillId="8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left" wrapText="1" readingOrder="1"/>
    </xf>
    <xf numFmtId="0" fontId="0" fillId="0" borderId="6" xfId="0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wrapText="1" readingOrder="1"/>
    </xf>
    <xf numFmtId="49" fontId="52" fillId="0" borderId="7" xfId="0" applyNumberFormat="1" applyFont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175" fontId="10" fillId="0" borderId="2" xfId="0" applyNumberFormat="1" applyFont="1" applyFill="1" applyBorder="1" applyAlignment="1">
      <alignment horizontal="center" vertical="center"/>
    </xf>
    <xf numFmtId="175" fontId="26" fillId="5" borderId="13" xfId="0" applyNumberFormat="1" applyFont="1" applyFill="1" applyBorder="1" applyAlignment="1">
      <alignment horizontal="center" vertical="center" wrapText="1"/>
    </xf>
    <xf numFmtId="175" fontId="5" fillId="3" borderId="14" xfId="0" applyNumberFormat="1" applyFont="1" applyFill="1" applyBorder="1" applyAlignment="1">
      <alignment horizontal="center" vertical="center"/>
    </xf>
    <xf numFmtId="175" fontId="5" fillId="3" borderId="18" xfId="0" applyNumberFormat="1" applyFont="1" applyFill="1" applyBorder="1" applyAlignment="1">
      <alignment horizontal="center" vertical="center"/>
    </xf>
    <xf numFmtId="175" fontId="35" fillId="5" borderId="47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175" fontId="35" fillId="0" borderId="2" xfId="0" applyNumberFormat="1" applyFont="1" applyFill="1" applyBorder="1" applyAlignment="1">
      <alignment horizontal="center" vertical="center" wrapText="1"/>
    </xf>
    <xf numFmtId="175" fontId="65" fillId="0" borderId="2" xfId="0" applyNumberFormat="1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175" fontId="64" fillId="0" borderId="2" xfId="0" applyNumberFormat="1" applyFont="1" applyFill="1" applyBorder="1" applyAlignment="1">
      <alignment horizontal="center" vertical="center" wrapText="1"/>
    </xf>
    <xf numFmtId="175" fontId="60" fillId="0" borderId="2" xfId="0" applyNumberFormat="1" applyFont="1" applyFill="1" applyBorder="1" applyAlignment="1">
      <alignment horizontal="center" vertical="center" wrapText="1"/>
    </xf>
    <xf numFmtId="175" fontId="26" fillId="3" borderId="13" xfId="0" applyNumberFormat="1" applyFont="1" applyFill="1" applyBorder="1" applyAlignment="1">
      <alignment horizontal="center" vertical="top" wrapText="1"/>
    </xf>
    <xf numFmtId="175" fontId="26" fillId="5" borderId="14" xfId="0" applyNumberFormat="1" applyFont="1" applyFill="1" applyBorder="1" applyAlignment="1">
      <alignment horizontal="center" vertical="center" wrapText="1"/>
    </xf>
    <xf numFmtId="175" fontId="26" fillId="5" borderId="18" xfId="0" applyNumberFormat="1" applyFont="1" applyFill="1" applyBorder="1" applyAlignment="1">
      <alignment horizontal="center" vertical="center" wrapText="1"/>
    </xf>
    <xf numFmtId="175" fontId="18" fillId="0" borderId="24" xfId="0" applyNumberFormat="1" applyFont="1" applyBorder="1" applyAlignment="1">
      <alignment horizontal="center" vertical="center"/>
    </xf>
    <xf numFmtId="175" fontId="18" fillId="0" borderId="22" xfId="0" applyNumberFormat="1" applyFont="1" applyBorder="1" applyAlignment="1">
      <alignment horizontal="center" vertical="center"/>
    </xf>
    <xf numFmtId="175" fontId="19" fillId="0" borderId="2" xfId="0" applyNumberFormat="1" applyFont="1" applyBorder="1" applyAlignment="1">
      <alignment horizontal="center" vertical="center"/>
    </xf>
    <xf numFmtId="175" fontId="19" fillId="0" borderId="19" xfId="0" applyNumberFormat="1" applyFont="1" applyBorder="1" applyAlignment="1">
      <alignment horizontal="center" vertical="center"/>
    </xf>
    <xf numFmtId="175" fontId="6" fillId="0" borderId="2" xfId="0" applyNumberFormat="1" applyFont="1" applyBorder="1" applyAlignment="1">
      <alignment horizontal="center" vertical="center"/>
    </xf>
    <xf numFmtId="175" fontId="6" fillId="0" borderId="19" xfId="0" applyNumberFormat="1" applyFont="1" applyBorder="1" applyAlignment="1">
      <alignment horizontal="center" vertical="center"/>
    </xf>
    <xf numFmtId="175" fontId="60" fillId="0" borderId="2" xfId="0" applyNumberFormat="1" applyFont="1" applyBorder="1" applyAlignment="1">
      <alignment horizontal="center" vertical="center" wrapText="1"/>
    </xf>
    <xf numFmtId="175" fontId="60" fillId="0" borderId="19" xfId="0" applyNumberFormat="1" applyFont="1" applyBorder="1" applyAlignment="1">
      <alignment horizontal="center" vertical="center" wrapText="1"/>
    </xf>
    <xf numFmtId="175" fontId="55" fillId="0" borderId="3" xfId="0" applyNumberFormat="1" applyFont="1" applyBorder="1" applyAlignment="1">
      <alignment horizontal="center" vertical="center"/>
    </xf>
    <xf numFmtId="175" fontId="55" fillId="0" borderId="20" xfId="0" applyNumberFormat="1" applyFont="1" applyBorder="1" applyAlignment="1">
      <alignment horizontal="center" vertical="center"/>
    </xf>
    <xf numFmtId="175" fontId="43" fillId="5" borderId="14" xfId="0" applyNumberFormat="1" applyFont="1" applyFill="1" applyBorder="1" applyAlignment="1">
      <alignment horizontal="center" vertical="center"/>
    </xf>
    <xf numFmtId="175" fontId="43" fillId="5" borderId="18" xfId="0" applyNumberFormat="1" applyFont="1" applyFill="1" applyBorder="1" applyAlignment="1">
      <alignment horizontal="center" vertical="center"/>
    </xf>
    <xf numFmtId="175" fontId="19" fillId="0" borderId="24" xfId="0" applyNumberFormat="1" applyFont="1" applyBorder="1" applyAlignment="1">
      <alignment horizontal="center" vertical="center"/>
    </xf>
    <xf numFmtId="175" fontId="19" fillId="0" borderId="22" xfId="0" applyNumberFormat="1" applyFont="1" applyBorder="1" applyAlignment="1">
      <alignment horizontal="center" vertical="center"/>
    </xf>
    <xf numFmtId="175" fontId="44" fillId="0" borderId="2" xfId="0" applyNumberFormat="1" applyFont="1" applyBorder="1" applyAlignment="1">
      <alignment horizontal="center" vertical="center"/>
    </xf>
    <xf numFmtId="175" fontId="44" fillId="0" borderId="19" xfId="0" applyNumberFormat="1" applyFont="1" applyBorder="1" applyAlignment="1">
      <alignment horizontal="center" vertical="center"/>
    </xf>
    <xf numFmtId="175" fontId="18" fillId="0" borderId="3" xfId="0" applyNumberFormat="1" applyFont="1" applyBorder="1" applyAlignment="1">
      <alignment horizontal="center" vertical="center"/>
    </xf>
    <xf numFmtId="175" fontId="18" fillId="0" borderId="20" xfId="0" applyNumberFormat="1" applyFont="1" applyBorder="1" applyAlignment="1">
      <alignment horizontal="center" vertical="center"/>
    </xf>
    <xf numFmtId="175" fontId="6" fillId="0" borderId="3" xfId="0" applyNumberFormat="1" applyFont="1" applyBorder="1" applyAlignment="1">
      <alignment horizontal="center" vertical="center"/>
    </xf>
    <xf numFmtId="175" fontId="6" fillId="0" borderId="20" xfId="0" applyNumberFormat="1" applyFont="1" applyBorder="1" applyAlignment="1">
      <alignment horizontal="center" vertical="center"/>
    </xf>
    <xf numFmtId="175" fontId="26" fillId="6" borderId="13" xfId="0" applyNumberFormat="1" applyFont="1" applyFill="1" applyBorder="1" applyAlignment="1">
      <alignment horizontal="center" vertical="top" wrapText="1"/>
    </xf>
    <xf numFmtId="175" fontId="66" fillId="3" borderId="14" xfId="0" applyNumberFormat="1" applyFont="1" applyFill="1" applyBorder="1" applyAlignment="1">
      <alignment horizontal="center" vertical="center" wrapText="1"/>
    </xf>
    <xf numFmtId="175" fontId="66" fillId="3" borderId="18" xfId="0" applyNumberFormat="1" applyFont="1" applyFill="1" applyBorder="1" applyAlignment="1">
      <alignment horizontal="center" vertical="center" wrapText="1"/>
    </xf>
    <xf numFmtId="0" fontId="60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49" fontId="24" fillId="6" borderId="49" xfId="0" applyNumberFormat="1" applyFont="1" applyFill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vertical="top" wrapText="1"/>
    </xf>
    <xf numFmtId="0" fontId="30" fillId="6" borderId="41" xfId="0" applyFont="1" applyFill="1" applyBorder="1" applyAlignment="1">
      <alignment horizontal="center" vertical="center" wrapText="1"/>
    </xf>
    <xf numFmtId="0" fontId="30" fillId="6" borderId="34" xfId="0" applyFont="1" applyFill="1" applyBorder="1" applyAlignment="1">
      <alignment horizontal="center" vertical="center" wrapText="1"/>
    </xf>
    <xf numFmtId="175" fontId="35" fillId="5" borderId="51" xfId="0" applyNumberFormat="1" applyFont="1" applyFill="1" applyBorder="1" applyAlignment="1">
      <alignment horizontal="center" vertical="center" wrapText="1"/>
    </xf>
    <xf numFmtId="175" fontId="35" fillId="0" borderId="9" xfId="0" applyNumberFormat="1" applyFont="1" applyFill="1" applyBorder="1" applyAlignment="1">
      <alignment horizontal="center" vertical="center" wrapText="1"/>
    </xf>
    <xf numFmtId="175" fontId="60" fillId="0" borderId="9" xfId="0" applyNumberFormat="1" applyFont="1" applyFill="1" applyBorder="1" applyAlignment="1">
      <alignment horizontal="center" vertical="center" wrapText="1"/>
    </xf>
    <xf numFmtId="175" fontId="64" fillId="0" borderId="9" xfId="0" applyNumberFormat="1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0" fillId="5" borderId="9" xfId="0" applyFont="1" applyFill="1" applyBorder="1" applyAlignment="1">
      <alignment horizontal="center" vertical="center" wrapText="1"/>
    </xf>
    <xf numFmtId="175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175" fontId="26" fillId="3" borderId="35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49" fontId="56" fillId="0" borderId="5" xfId="0" applyNumberFormat="1" applyFont="1" applyBorder="1" applyAlignment="1">
      <alignment horizontal="center" vertical="center" wrapText="1"/>
    </xf>
    <xf numFmtId="49" fontId="33" fillId="5" borderId="5" xfId="0" applyNumberFormat="1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9" fontId="56" fillId="0" borderId="29" xfId="0" applyNumberFormat="1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/>
    </xf>
    <xf numFmtId="0" fontId="23" fillId="0" borderId="0" xfId="0" applyFont="1" applyBorder="1"/>
    <xf numFmtId="0" fontId="23" fillId="6" borderId="35" xfId="0" applyFont="1" applyFill="1" applyBorder="1"/>
    <xf numFmtId="175" fontId="5" fillId="0" borderId="41" xfId="0" applyNumberFormat="1" applyFont="1" applyBorder="1" applyAlignment="1">
      <alignment horizontal="center" vertical="center"/>
    </xf>
    <xf numFmtId="175" fontId="5" fillId="6" borderId="53" xfId="0" applyNumberFormat="1" applyFont="1" applyFill="1" applyBorder="1" applyAlignment="1">
      <alignment horizontal="center" vertical="center"/>
    </xf>
    <xf numFmtId="175" fontId="5" fillId="6" borderId="6" xfId="0" applyNumberFormat="1" applyFont="1" applyFill="1" applyBorder="1" applyAlignment="1">
      <alignment horizontal="center" vertical="center"/>
    </xf>
    <xf numFmtId="175" fontId="5" fillId="6" borderId="13" xfId="0" applyNumberFormat="1" applyFont="1" applyFill="1" applyBorder="1" applyAlignment="1">
      <alignment horizontal="center" vertical="center"/>
    </xf>
    <xf numFmtId="0" fontId="23" fillId="3" borderId="8" xfId="0" applyFont="1" applyFill="1" applyBorder="1"/>
    <xf numFmtId="175" fontId="5" fillId="0" borderId="54" xfId="0" applyNumberFormat="1" applyFont="1" applyBorder="1" applyAlignment="1">
      <alignment horizontal="center" vertical="center"/>
    </xf>
    <xf numFmtId="175" fontId="26" fillId="0" borderId="55" xfId="0" applyNumberFormat="1" applyFont="1" applyFill="1" applyBorder="1" applyAlignment="1">
      <alignment horizontal="center" vertical="top" wrapText="1"/>
    </xf>
    <xf numFmtId="175" fontId="35" fillId="0" borderId="19" xfId="0" applyNumberFormat="1" applyFont="1" applyFill="1" applyBorder="1" applyAlignment="1">
      <alignment horizontal="center" vertical="center" wrapText="1"/>
    </xf>
    <xf numFmtId="175" fontId="60" fillId="0" borderId="19" xfId="0" applyNumberFormat="1" applyFont="1" applyFill="1" applyBorder="1" applyAlignment="1">
      <alignment horizontal="center" vertical="center" wrapText="1"/>
    </xf>
    <xf numFmtId="175" fontId="64" fillId="0" borderId="19" xfId="0" applyNumberFormat="1" applyFont="1" applyFill="1" applyBorder="1" applyAlignment="1">
      <alignment horizontal="center" vertical="center" wrapText="1"/>
    </xf>
    <xf numFmtId="0" fontId="35" fillId="5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0" fillId="5" borderId="19" xfId="0" applyFont="1" applyFill="1" applyBorder="1" applyAlignment="1">
      <alignment horizontal="center" vertical="center" wrapText="1"/>
    </xf>
    <xf numFmtId="175" fontId="65" fillId="0" borderId="19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75" fontId="5" fillId="0" borderId="34" xfId="0" applyNumberFormat="1" applyFont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 wrapText="1"/>
    </xf>
    <xf numFmtId="175" fontId="29" fillId="0" borderId="56" xfId="0" applyNumberFormat="1" applyFont="1" applyBorder="1" applyAlignment="1">
      <alignment horizontal="center" vertical="center" wrapText="1"/>
    </xf>
    <xf numFmtId="175" fontId="29" fillId="0" borderId="2" xfId="0" applyNumberFormat="1" applyFont="1" applyBorder="1" applyAlignment="1">
      <alignment horizontal="center" vertical="center" wrapText="1"/>
    </xf>
    <xf numFmtId="175" fontId="18" fillId="0" borderId="26" xfId="0" applyNumberFormat="1" applyFont="1" applyBorder="1" applyAlignment="1">
      <alignment horizontal="center" vertical="center"/>
    </xf>
    <xf numFmtId="175" fontId="19" fillId="0" borderId="9" xfId="0" applyNumberFormat="1" applyFont="1" applyBorder="1" applyAlignment="1">
      <alignment horizontal="center" vertical="center"/>
    </xf>
    <xf numFmtId="175" fontId="6" fillId="0" borderId="9" xfId="0" applyNumberFormat="1" applyFont="1" applyBorder="1" applyAlignment="1">
      <alignment horizontal="center" vertical="center"/>
    </xf>
    <xf numFmtId="175" fontId="60" fillId="0" borderId="9" xfId="0" applyNumberFormat="1" applyFont="1" applyBorder="1" applyAlignment="1">
      <alignment horizontal="center" vertical="center" wrapText="1"/>
    </xf>
    <xf numFmtId="175" fontId="29" fillId="0" borderId="9" xfId="0" applyNumberFormat="1" applyFont="1" applyBorder="1" applyAlignment="1">
      <alignment horizontal="center" vertical="center" wrapText="1"/>
    </xf>
    <xf numFmtId="175" fontId="55" fillId="0" borderId="25" xfId="0" applyNumberFormat="1" applyFont="1" applyBorder="1" applyAlignment="1">
      <alignment horizontal="center" vertical="center"/>
    </xf>
    <xf numFmtId="49" fontId="46" fillId="0" borderId="36" xfId="0" applyNumberFormat="1" applyFont="1" applyBorder="1" applyAlignment="1">
      <alignment horizontal="center" vertical="center" wrapText="1"/>
    </xf>
    <xf numFmtId="49" fontId="52" fillId="0" borderId="29" xfId="0" applyNumberFormat="1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175" fontId="10" fillId="0" borderId="5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175" fontId="10" fillId="0" borderId="1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  <xf numFmtId="175" fontId="10" fillId="2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75" fontId="3" fillId="2" borderId="2" xfId="0" applyNumberFormat="1" applyFont="1" applyFill="1" applyBorder="1" applyAlignment="1">
      <alignment horizontal="center" vertical="center"/>
    </xf>
    <xf numFmtId="175" fontId="7" fillId="0" borderId="2" xfId="0" applyNumberFormat="1" applyFont="1" applyFill="1" applyBorder="1" applyAlignment="1">
      <alignment horizontal="center" vertical="center"/>
    </xf>
    <xf numFmtId="175" fontId="7" fillId="10" borderId="2" xfId="0" applyNumberFormat="1" applyFont="1" applyFill="1" applyBorder="1" applyAlignment="1">
      <alignment horizontal="center" vertical="center"/>
    </xf>
    <xf numFmtId="175" fontId="10" fillId="0" borderId="19" xfId="0" applyNumberFormat="1" applyFont="1" applyFill="1" applyBorder="1" applyAlignment="1">
      <alignment horizontal="center" vertical="center"/>
    </xf>
    <xf numFmtId="175" fontId="2" fillId="4" borderId="19" xfId="0" applyNumberFormat="1" applyFont="1" applyFill="1" applyBorder="1" applyAlignment="1">
      <alignment horizontal="center" vertical="center"/>
    </xf>
    <xf numFmtId="175" fontId="2" fillId="2" borderId="1" xfId="0" applyNumberFormat="1" applyFont="1" applyFill="1" applyBorder="1" applyAlignment="1">
      <alignment horizontal="center" vertical="center"/>
    </xf>
    <xf numFmtId="175" fontId="2" fillId="4" borderId="1" xfId="0" applyNumberFormat="1" applyFont="1" applyFill="1" applyBorder="1" applyAlignment="1">
      <alignment horizontal="center" vertical="center"/>
    </xf>
    <xf numFmtId="175" fontId="10" fillId="0" borderId="1" xfId="0" applyNumberFormat="1" applyFont="1" applyBorder="1" applyAlignment="1">
      <alignment horizontal="center" vertical="center"/>
    </xf>
    <xf numFmtId="175" fontId="16" fillId="8" borderId="9" xfId="0" applyNumberFormat="1" applyFont="1" applyFill="1" applyBorder="1" applyAlignment="1">
      <alignment horizontal="center" vertical="center"/>
    </xf>
    <xf numFmtId="175" fontId="10" fillId="2" borderId="9" xfId="0" applyNumberFormat="1" applyFont="1" applyFill="1" applyBorder="1" applyAlignment="1">
      <alignment horizontal="center" vertical="center"/>
    </xf>
    <xf numFmtId="175" fontId="7" fillId="0" borderId="9" xfId="0" applyNumberFormat="1" applyFont="1" applyFill="1" applyBorder="1" applyAlignment="1">
      <alignment horizontal="center" vertical="center"/>
    </xf>
    <xf numFmtId="175" fontId="2" fillId="2" borderId="9" xfId="0" applyNumberFormat="1" applyFont="1" applyFill="1" applyBorder="1" applyAlignment="1">
      <alignment horizontal="center" vertical="center"/>
    </xf>
    <xf numFmtId="175" fontId="19" fillId="0" borderId="9" xfId="0" applyNumberFormat="1" applyFont="1" applyFill="1" applyBorder="1" applyAlignment="1">
      <alignment horizontal="center" vertical="center"/>
    </xf>
    <xf numFmtId="175" fontId="9" fillId="0" borderId="9" xfId="0" applyNumberFormat="1" applyFont="1" applyFill="1" applyBorder="1" applyAlignment="1">
      <alignment horizontal="center" vertical="center"/>
    </xf>
    <xf numFmtId="175" fontId="10" fillId="0" borderId="9" xfId="0" applyNumberFormat="1" applyFont="1" applyFill="1" applyBorder="1" applyAlignment="1">
      <alignment horizontal="center" vertical="center"/>
    </xf>
    <xf numFmtId="175" fontId="13" fillId="0" borderId="9" xfId="0" applyNumberFormat="1" applyFont="1" applyFill="1" applyBorder="1" applyAlignment="1">
      <alignment horizontal="center" vertical="center"/>
    </xf>
    <xf numFmtId="175" fontId="2" fillId="0" borderId="9" xfId="0" applyNumberFormat="1" applyFont="1" applyFill="1" applyBorder="1" applyAlignment="1">
      <alignment horizontal="center" vertical="center"/>
    </xf>
    <xf numFmtId="175" fontId="3" fillId="2" borderId="9" xfId="0" applyNumberFormat="1" applyFont="1" applyFill="1" applyBorder="1" applyAlignment="1">
      <alignment horizontal="center" vertical="center"/>
    </xf>
    <xf numFmtId="175" fontId="7" fillId="10" borderId="9" xfId="0" applyNumberFormat="1" applyFont="1" applyFill="1" applyBorder="1" applyAlignment="1">
      <alignment horizontal="center" vertical="center"/>
    </xf>
    <xf numFmtId="175" fontId="10" fillId="0" borderId="48" xfId="0" applyNumberFormat="1" applyFont="1" applyFill="1" applyBorder="1" applyAlignment="1">
      <alignment horizontal="center" vertical="center"/>
    </xf>
    <xf numFmtId="175" fontId="16" fillId="8" borderId="1" xfId="0" applyNumberFormat="1" applyFont="1" applyFill="1" applyBorder="1" applyAlignment="1">
      <alignment horizontal="center" vertical="center"/>
    </xf>
    <xf numFmtId="175" fontId="10" fillId="2" borderId="1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/>
    </xf>
    <xf numFmtId="175" fontId="19" fillId="0" borderId="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wrapText="1" readingOrder="1"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75" fontId="10" fillId="0" borderId="23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wrapText="1"/>
    </xf>
    <xf numFmtId="175" fontId="16" fillId="8" borderId="19" xfId="0" applyNumberFormat="1" applyFont="1" applyFill="1" applyBorder="1" applyAlignment="1">
      <alignment horizontal="center" vertical="center"/>
    </xf>
    <xf numFmtId="175" fontId="10" fillId="2" borderId="19" xfId="0" applyNumberFormat="1" applyFont="1" applyFill="1" applyBorder="1" applyAlignment="1">
      <alignment horizontal="center" vertical="center"/>
    </xf>
    <xf numFmtId="175" fontId="7" fillId="0" borderId="19" xfId="0" applyNumberFormat="1" applyFont="1" applyFill="1" applyBorder="1" applyAlignment="1">
      <alignment horizontal="center" vertical="center"/>
    </xf>
    <xf numFmtId="175" fontId="2" fillId="2" borderId="19" xfId="0" applyNumberFormat="1" applyFont="1" applyFill="1" applyBorder="1" applyAlignment="1">
      <alignment horizontal="center" vertical="center"/>
    </xf>
    <xf numFmtId="175" fontId="19" fillId="0" borderId="19" xfId="0" applyNumberFormat="1" applyFont="1" applyFill="1" applyBorder="1" applyAlignment="1">
      <alignment horizontal="center" vertical="center"/>
    </xf>
    <xf numFmtId="175" fontId="9" fillId="0" borderId="19" xfId="0" applyNumberFormat="1" applyFont="1" applyFill="1" applyBorder="1" applyAlignment="1">
      <alignment horizontal="center" vertical="center"/>
    </xf>
    <xf numFmtId="175" fontId="13" fillId="0" borderId="19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175" fontId="3" fillId="2" borderId="19" xfId="0" applyNumberFormat="1" applyFont="1" applyFill="1" applyBorder="1" applyAlignment="1">
      <alignment horizontal="center" vertical="center"/>
    </xf>
    <xf numFmtId="175" fontId="7" fillId="10" borderId="19" xfId="0" applyNumberFormat="1" applyFont="1" applyFill="1" applyBorder="1" applyAlignment="1">
      <alignment horizontal="center" vertical="center"/>
    </xf>
    <xf numFmtId="175" fontId="9" fillId="0" borderId="52" xfId="0" applyNumberFormat="1" applyFont="1" applyFill="1" applyBorder="1" applyAlignment="1">
      <alignment horizontal="center" vertical="center"/>
    </xf>
    <xf numFmtId="175" fontId="9" fillId="0" borderId="38" xfId="0" applyNumberFormat="1" applyFont="1" applyFill="1" applyBorder="1" applyAlignment="1">
      <alignment horizontal="center" vertical="center"/>
    </xf>
    <xf numFmtId="175" fontId="9" fillId="0" borderId="30" xfId="0" applyNumberFormat="1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9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right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10" fillId="0" borderId="0" xfId="0" applyNumberFormat="1" applyFont="1" applyFill="1" applyBorder="1" applyAlignment="1">
      <alignment horizontal="center" vertical="center"/>
    </xf>
    <xf numFmtId="49" fontId="2" fillId="4" borderId="40" xfId="0" applyNumberFormat="1" applyFont="1" applyFill="1" applyBorder="1" applyAlignment="1">
      <alignment horizontal="center" vertical="center"/>
    </xf>
    <xf numFmtId="175" fontId="10" fillId="0" borderId="58" xfId="0" applyNumberFormat="1" applyFont="1" applyFill="1" applyBorder="1" applyAlignment="1">
      <alignment horizontal="center" vertical="center"/>
    </xf>
    <xf numFmtId="175" fontId="7" fillId="0" borderId="52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175" fontId="2" fillId="4" borderId="16" xfId="0" applyNumberFormat="1" applyFont="1" applyFill="1" applyBorder="1" applyAlignment="1">
      <alignment horizontal="center" vertical="center"/>
    </xf>
    <xf numFmtId="175" fontId="10" fillId="0" borderId="16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0" fillId="0" borderId="19" xfId="0" applyBorder="1"/>
    <xf numFmtId="0" fontId="10" fillId="0" borderId="1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0" fillId="0" borderId="3" xfId="0" applyBorder="1"/>
    <xf numFmtId="0" fontId="0" fillId="0" borderId="20" xfId="0" applyBorder="1"/>
    <xf numFmtId="175" fontId="2" fillId="2" borderId="24" xfId="0" applyNumberFormat="1" applyFont="1" applyFill="1" applyBorder="1" applyAlignment="1">
      <alignment horizontal="center" vertical="center"/>
    </xf>
    <xf numFmtId="175" fontId="2" fillId="2" borderId="22" xfId="0" applyNumberFormat="1" applyFont="1" applyFill="1" applyBorder="1" applyAlignment="1">
      <alignment horizontal="center" vertical="center"/>
    </xf>
    <xf numFmtId="175" fontId="7" fillId="10" borderId="10" xfId="0" applyNumberFormat="1" applyFont="1" applyFill="1" applyBorder="1" applyAlignment="1">
      <alignment horizontal="center" vertical="center"/>
    </xf>
    <xf numFmtId="175" fontId="7" fillId="10" borderId="18" xfId="0" applyNumberFormat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0" fillId="0" borderId="9" xfId="0" applyBorder="1"/>
    <xf numFmtId="0" fontId="0" fillId="0" borderId="25" xfId="0" applyBorder="1"/>
    <xf numFmtId="175" fontId="7" fillId="10" borderId="8" xfId="0" applyNumberFormat="1" applyFont="1" applyFill="1" applyBorder="1" applyAlignment="1">
      <alignment horizontal="center" vertical="center"/>
    </xf>
    <xf numFmtId="175" fontId="2" fillId="2" borderId="26" xfId="0" applyNumberFormat="1" applyFont="1" applyFill="1" applyBorder="1" applyAlignment="1">
      <alignment horizontal="center" vertical="center"/>
    </xf>
    <xf numFmtId="175" fontId="2" fillId="4" borderId="5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5" fontId="10" fillId="0" borderId="59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3" fontId="13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73" fontId="58" fillId="0" borderId="1" xfId="0" applyNumberFormat="1" applyFont="1" applyBorder="1" applyAlignment="1">
      <alignment horizontal="center" vertical="center" wrapText="1"/>
    </xf>
    <xf numFmtId="173" fontId="2" fillId="9" borderId="1" xfId="0" applyNumberFormat="1" applyFont="1" applyFill="1" applyBorder="1" applyAlignment="1">
      <alignment horizontal="center" vertical="center" wrapText="1"/>
    </xf>
    <xf numFmtId="173" fontId="19" fillId="0" borderId="1" xfId="0" applyNumberFormat="1" applyFont="1" applyBorder="1" applyAlignment="1">
      <alignment horizontal="center" vertical="center" wrapText="1"/>
    </xf>
    <xf numFmtId="173" fontId="44" fillId="0" borderId="2" xfId="0" applyNumberFormat="1" applyFont="1" applyBorder="1" applyAlignment="1">
      <alignment horizontal="center" vertical="center"/>
    </xf>
    <xf numFmtId="173" fontId="44" fillId="0" borderId="19" xfId="0" applyNumberFormat="1" applyFont="1" applyBorder="1" applyAlignment="1">
      <alignment horizontal="center" vertical="center"/>
    </xf>
    <xf numFmtId="173" fontId="29" fillId="0" borderId="2" xfId="0" applyNumberFormat="1" applyFont="1" applyFill="1" applyBorder="1" applyAlignment="1">
      <alignment horizontal="center" vertical="center" wrapText="1"/>
    </xf>
    <xf numFmtId="173" fontId="29" fillId="0" borderId="19" xfId="0" applyNumberFormat="1" applyFont="1" applyFill="1" applyBorder="1" applyAlignment="1">
      <alignment horizontal="center" vertical="center" wrapText="1"/>
    </xf>
    <xf numFmtId="173" fontId="55" fillId="0" borderId="2" xfId="0" applyNumberFormat="1" applyFont="1" applyFill="1" applyBorder="1" applyAlignment="1">
      <alignment horizontal="center" vertical="center"/>
    </xf>
    <xf numFmtId="173" fontId="55" fillId="0" borderId="19" xfId="0" applyNumberFormat="1" applyFont="1" applyFill="1" applyBorder="1" applyAlignment="1">
      <alignment horizontal="center" vertical="center"/>
    </xf>
    <xf numFmtId="173" fontId="60" fillId="0" borderId="2" xfId="0" applyNumberFormat="1" applyFont="1" applyFill="1" applyBorder="1" applyAlignment="1">
      <alignment horizontal="center" vertical="center" wrapText="1"/>
    </xf>
    <xf numFmtId="173" fontId="60" fillId="0" borderId="19" xfId="0" applyNumberFormat="1" applyFont="1" applyFill="1" applyBorder="1" applyAlignment="1">
      <alignment horizontal="center" vertical="center" wrapText="1"/>
    </xf>
    <xf numFmtId="173" fontId="57" fillId="0" borderId="2" xfId="0" applyNumberFormat="1" applyFont="1" applyFill="1" applyBorder="1" applyAlignment="1">
      <alignment horizontal="center" vertical="center" wrapText="1"/>
    </xf>
    <xf numFmtId="173" fontId="57" fillId="0" borderId="19" xfId="0" applyNumberFormat="1" applyFont="1" applyFill="1" applyBorder="1" applyAlignment="1">
      <alignment horizontal="center" vertical="center" wrapText="1"/>
    </xf>
    <xf numFmtId="173" fontId="44" fillId="0" borderId="2" xfId="0" applyNumberFormat="1" applyFont="1" applyFill="1" applyBorder="1" applyAlignment="1">
      <alignment horizontal="center" vertical="center"/>
    </xf>
    <xf numFmtId="173" fontId="44" fillId="0" borderId="19" xfId="0" applyNumberFormat="1" applyFont="1" applyFill="1" applyBorder="1" applyAlignment="1">
      <alignment horizontal="center" vertical="center"/>
    </xf>
    <xf numFmtId="173" fontId="19" fillId="0" borderId="2" xfId="0" applyNumberFormat="1" applyFont="1" applyBorder="1" applyAlignment="1">
      <alignment horizontal="center" vertical="center"/>
    </xf>
    <xf numFmtId="173" fontId="19" fillId="0" borderId="19" xfId="0" applyNumberFormat="1" applyFont="1" applyBorder="1" applyAlignment="1">
      <alignment horizontal="center" vertical="center"/>
    </xf>
    <xf numFmtId="173" fontId="6" fillId="0" borderId="2" xfId="0" applyNumberFormat="1" applyFont="1" applyBorder="1" applyAlignment="1">
      <alignment horizontal="center" vertical="center"/>
    </xf>
    <xf numFmtId="173" fontId="6" fillId="0" borderId="19" xfId="0" applyNumberFormat="1" applyFont="1" applyBorder="1" applyAlignment="1">
      <alignment horizontal="center" vertical="center"/>
    </xf>
    <xf numFmtId="173" fontId="60" fillId="0" borderId="2" xfId="0" applyNumberFormat="1" applyFont="1" applyBorder="1" applyAlignment="1">
      <alignment horizontal="center" vertical="center" wrapText="1"/>
    </xf>
    <xf numFmtId="173" fontId="60" fillId="0" borderId="19" xfId="0" applyNumberFormat="1" applyFont="1" applyBorder="1" applyAlignment="1">
      <alignment horizontal="center" vertical="center" wrapText="1"/>
    </xf>
    <xf numFmtId="173" fontId="29" fillId="0" borderId="2" xfId="0" applyNumberFormat="1" applyFont="1" applyBorder="1" applyAlignment="1">
      <alignment horizontal="center" vertical="center" wrapText="1"/>
    </xf>
    <xf numFmtId="173" fontId="55" fillId="0" borderId="2" xfId="0" applyNumberFormat="1" applyFont="1" applyBorder="1" applyAlignment="1">
      <alignment horizontal="center" vertical="center"/>
    </xf>
    <xf numFmtId="173" fontId="55" fillId="0" borderId="19" xfId="0" applyNumberFormat="1" applyFont="1" applyBorder="1" applyAlignment="1">
      <alignment horizontal="center" vertical="center"/>
    </xf>
    <xf numFmtId="173" fontId="29" fillId="0" borderId="19" xfId="0" applyNumberFormat="1" applyFont="1" applyBorder="1" applyAlignment="1">
      <alignment horizontal="center" vertical="center" wrapText="1"/>
    </xf>
    <xf numFmtId="173" fontId="35" fillId="0" borderId="2" xfId="0" applyNumberFormat="1" applyFont="1" applyFill="1" applyBorder="1" applyAlignment="1">
      <alignment horizontal="center" vertical="center" wrapText="1"/>
    </xf>
    <xf numFmtId="173" fontId="35" fillId="0" borderId="19" xfId="0" applyNumberFormat="1" applyFont="1" applyFill="1" applyBorder="1" applyAlignment="1">
      <alignment horizontal="center" vertical="center" wrapText="1"/>
    </xf>
    <xf numFmtId="173" fontId="60" fillId="0" borderId="1" xfId="0" applyNumberFormat="1" applyFont="1" applyFill="1" applyBorder="1" applyAlignment="1">
      <alignment horizontal="center" vertical="center" wrapText="1"/>
    </xf>
    <xf numFmtId="173" fontId="64" fillId="0" borderId="2" xfId="0" applyNumberFormat="1" applyFont="1" applyFill="1" applyBorder="1" applyAlignment="1">
      <alignment horizontal="center" vertical="center" wrapText="1"/>
    </xf>
    <xf numFmtId="173" fontId="64" fillId="0" borderId="19" xfId="0" applyNumberFormat="1" applyFont="1" applyFill="1" applyBorder="1" applyAlignment="1">
      <alignment horizontal="center" vertical="center" wrapText="1"/>
    </xf>
    <xf numFmtId="173" fontId="35" fillId="5" borderId="1" xfId="0" applyNumberFormat="1" applyFont="1" applyFill="1" applyBorder="1" applyAlignment="1">
      <alignment horizontal="center" vertical="center" wrapText="1"/>
    </xf>
    <xf numFmtId="173" fontId="69" fillId="3" borderId="13" xfId="0" applyNumberFormat="1" applyFont="1" applyFill="1" applyBorder="1" applyAlignment="1">
      <alignment horizontal="center" vertical="center" wrapText="1"/>
    </xf>
    <xf numFmtId="173" fontId="69" fillId="3" borderId="14" xfId="0" applyNumberFormat="1" applyFont="1" applyFill="1" applyBorder="1" applyAlignment="1">
      <alignment horizontal="center" vertical="center" wrapText="1"/>
    </xf>
    <xf numFmtId="173" fontId="69" fillId="6" borderId="41" xfId="0" applyNumberFormat="1" applyFont="1" applyFill="1" applyBorder="1" applyAlignment="1">
      <alignment horizontal="center" vertical="center" wrapText="1"/>
    </xf>
    <xf numFmtId="173" fontId="69" fillId="6" borderId="34" xfId="0" applyNumberFormat="1" applyFont="1" applyFill="1" applyBorder="1" applyAlignment="1">
      <alignment horizontal="center" vertical="center" wrapText="1"/>
    </xf>
    <xf numFmtId="173" fontId="53" fillId="5" borderId="13" xfId="0" applyNumberFormat="1" applyFont="1" applyFill="1" applyBorder="1" applyAlignment="1">
      <alignment horizontal="center" vertical="center" wrapText="1"/>
    </xf>
    <xf numFmtId="173" fontId="53" fillId="0" borderId="2" xfId="0" applyNumberFormat="1" applyFont="1" applyFill="1" applyBorder="1" applyAlignment="1">
      <alignment horizontal="center" vertical="center" wrapText="1"/>
    </xf>
    <xf numFmtId="49" fontId="48" fillId="7" borderId="2" xfId="0" applyNumberFormat="1" applyFont="1" applyFill="1" applyBorder="1" applyAlignment="1">
      <alignment horizontal="center" vertical="top" wrapText="1"/>
    </xf>
    <xf numFmtId="173" fontId="70" fillId="0" borderId="2" xfId="0" applyNumberFormat="1" applyFont="1" applyFill="1" applyBorder="1" applyAlignment="1">
      <alignment horizontal="center" vertical="center" wrapText="1"/>
    </xf>
    <xf numFmtId="173" fontId="49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top" wrapText="1"/>
    </xf>
    <xf numFmtId="49" fontId="47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9" fillId="0" borderId="60" xfId="0" applyNumberFormat="1" applyFont="1" applyFill="1" applyBorder="1" applyAlignment="1">
      <alignment horizontal="center" vertical="center"/>
    </xf>
    <xf numFmtId="0" fontId="0" fillId="0" borderId="0" xfId="0" applyFill="1"/>
    <xf numFmtId="49" fontId="9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5" fontId="9" fillId="0" borderId="58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wrapText="1" readingOrder="1"/>
    </xf>
    <xf numFmtId="49" fontId="9" fillId="0" borderId="5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left" wrapText="1" readingOrder="1"/>
    </xf>
    <xf numFmtId="49" fontId="1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 readingOrder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21" fillId="0" borderId="3" xfId="0" applyNumberFormat="1" applyFont="1" applyFill="1" applyBorder="1" applyAlignment="1">
      <alignment horizontal="center" vertical="top" wrapText="1"/>
    </xf>
    <xf numFmtId="173" fontId="49" fillId="0" borderId="3" xfId="0" applyNumberFormat="1" applyFont="1" applyBorder="1" applyAlignment="1">
      <alignment horizontal="center" vertical="center"/>
    </xf>
    <xf numFmtId="173" fontId="53" fillId="6" borderId="13" xfId="0" applyNumberFormat="1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center" wrapText="1"/>
    </xf>
    <xf numFmtId="173" fontId="53" fillId="5" borderId="2" xfId="0" applyNumberFormat="1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173" fontId="26" fillId="5" borderId="2" xfId="0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173" fontId="1" fillId="6" borderId="2" xfId="0" applyNumberFormat="1" applyFont="1" applyFill="1" applyBorder="1" applyAlignment="1">
      <alignment horizontal="center" vertical="center"/>
    </xf>
    <xf numFmtId="173" fontId="35" fillId="5" borderId="2" xfId="0" applyNumberFormat="1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49" fontId="23" fillId="5" borderId="5" xfId="0" applyNumberFormat="1" applyFont="1" applyFill="1" applyBorder="1" applyAlignment="1">
      <alignment horizontal="center" vertical="center" wrapText="1"/>
    </xf>
    <xf numFmtId="173" fontId="53" fillId="5" borderId="19" xfId="0" applyNumberFormat="1" applyFont="1" applyFill="1" applyBorder="1" applyAlignment="1">
      <alignment horizontal="center" vertical="center" wrapText="1"/>
    </xf>
    <xf numFmtId="173" fontId="26" fillId="5" borderId="19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173" fontId="1" fillId="6" borderId="19" xfId="0" applyNumberFormat="1" applyFont="1" applyFill="1" applyBorder="1" applyAlignment="1">
      <alignment horizontal="center" vertical="center"/>
    </xf>
    <xf numFmtId="173" fontId="35" fillId="5" borderId="19" xfId="0" applyNumberFormat="1" applyFont="1" applyFill="1" applyBorder="1" applyAlignment="1">
      <alignment horizontal="center" vertical="center" wrapText="1"/>
    </xf>
    <xf numFmtId="49" fontId="25" fillId="5" borderId="5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vertical="center" wrapText="1"/>
    </xf>
    <xf numFmtId="49" fontId="24" fillId="3" borderId="5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Border="1" applyAlignment="1">
      <alignment horizontal="center" vertical="center" wrapText="1"/>
    </xf>
    <xf numFmtId="49" fontId="56" fillId="4" borderId="49" xfId="0" applyNumberFormat="1" applyFont="1" applyFill="1" applyBorder="1" applyAlignment="1">
      <alignment horizontal="center" vertical="center" wrapText="1"/>
    </xf>
    <xf numFmtId="49" fontId="21" fillId="4" borderId="61" xfId="0" applyNumberFormat="1" applyFont="1" applyFill="1" applyBorder="1" applyAlignment="1">
      <alignment horizontal="center" vertical="top" wrapText="1"/>
    </xf>
    <xf numFmtId="173" fontId="2" fillId="4" borderId="61" xfId="0" applyNumberFormat="1" applyFont="1" applyFill="1" applyBorder="1" applyAlignment="1">
      <alignment horizontal="center" vertical="center"/>
    </xf>
    <xf numFmtId="173" fontId="2" fillId="4" borderId="50" xfId="0" applyNumberFormat="1" applyFont="1" applyFill="1" applyBorder="1" applyAlignment="1">
      <alignment horizontal="center" vertical="center"/>
    </xf>
    <xf numFmtId="173" fontId="53" fillId="3" borderId="14" xfId="0" applyNumberFormat="1" applyFont="1" applyFill="1" applyBorder="1" applyAlignment="1">
      <alignment horizontal="center" vertical="top" wrapText="1"/>
    </xf>
    <xf numFmtId="173" fontId="53" fillId="3" borderId="18" xfId="0" applyNumberFormat="1" applyFont="1" applyFill="1" applyBorder="1" applyAlignment="1">
      <alignment horizontal="center" vertical="top" wrapText="1"/>
    </xf>
    <xf numFmtId="49" fontId="56" fillId="0" borderId="36" xfId="0" applyNumberFormat="1" applyFont="1" applyFill="1" applyBorder="1" applyAlignment="1">
      <alignment horizontal="center" vertical="center" wrapText="1"/>
    </xf>
    <xf numFmtId="49" fontId="46" fillId="0" borderId="62" xfId="0" applyNumberFormat="1" applyFont="1" applyFill="1" applyBorder="1" applyAlignment="1">
      <alignment horizontal="center" vertical="top" wrapText="1"/>
    </xf>
    <xf numFmtId="173" fontId="2" fillId="0" borderId="62" xfId="0" applyNumberFormat="1" applyFont="1" applyFill="1" applyBorder="1" applyAlignment="1">
      <alignment horizontal="center" vertical="center"/>
    </xf>
    <xf numFmtId="173" fontId="2" fillId="0" borderId="37" xfId="0" applyNumberFormat="1" applyFont="1" applyFill="1" applyBorder="1" applyAlignment="1">
      <alignment horizontal="center" vertical="center"/>
    </xf>
    <xf numFmtId="173" fontId="53" fillId="0" borderId="19" xfId="0" applyNumberFormat="1" applyFont="1" applyFill="1" applyBorder="1" applyAlignment="1">
      <alignment horizontal="center" vertical="center" wrapText="1"/>
    </xf>
    <xf numFmtId="173" fontId="70" fillId="0" borderId="19" xfId="0" applyNumberFormat="1" applyFont="1" applyFill="1" applyBorder="1" applyAlignment="1">
      <alignment horizontal="center" vertical="center" wrapText="1"/>
    </xf>
    <xf numFmtId="173" fontId="49" fillId="0" borderId="19" xfId="0" applyNumberFormat="1" applyFont="1" applyBorder="1" applyAlignment="1">
      <alignment horizontal="center" vertical="center"/>
    </xf>
    <xf numFmtId="173" fontId="49" fillId="0" borderId="20" xfId="0" applyNumberFormat="1" applyFont="1" applyBorder="1" applyAlignment="1">
      <alignment horizontal="center" vertical="center"/>
    </xf>
    <xf numFmtId="0" fontId="47" fillId="5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47" fillId="5" borderId="11" xfId="0" applyFont="1" applyFill="1" applyBorder="1" applyAlignment="1">
      <alignment vertical="top" wrapText="1"/>
    </xf>
    <xf numFmtId="0" fontId="61" fillId="6" borderId="11" xfId="0" applyFont="1" applyFill="1" applyBorder="1" applyAlignment="1">
      <alignment vertical="top" wrapText="1"/>
    </xf>
    <xf numFmtId="0" fontId="47" fillId="5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23" fillId="3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49" fontId="47" fillId="4" borderId="63" xfId="0" applyNumberFormat="1" applyFont="1" applyFill="1" applyBorder="1" applyAlignment="1">
      <alignment horizontal="left" vertical="center" wrapText="1"/>
    </xf>
    <xf numFmtId="49" fontId="22" fillId="0" borderId="64" xfId="0" applyNumberFormat="1" applyFont="1" applyFill="1" applyBorder="1" applyAlignment="1">
      <alignment horizontal="justify" vertical="justify" wrapText="1"/>
    </xf>
    <xf numFmtId="49" fontId="47" fillId="0" borderId="11" xfId="0" applyNumberFormat="1" applyFont="1" applyFill="1" applyBorder="1" applyAlignment="1">
      <alignment horizontal="justify" vertical="justify" wrapText="1"/>
    </xf>
    <xf numFmtId="49" fontId="47" fillId="0" borderId="11" xfId="0" applyNumberFormat="1" applyFont="1" applyFill="1" applyBorder="1" applyAlignment="1">
      <alignment horizontal="left" vertical="center" wrapText="1"/>
    </xf>
    <xf numFmtId="0" fontId="23" fillId="6" borderId="8" xfId="0" applyFont="1" applyFill="1" applyBorder="1"/>
    <xf numFmtId="173" fontId="53" fillId="3" borderId="53" xfId="0" applyNumberFormat="1" applyFont="1" applyFill="1" applyBorder="1" applyAlignment="1">
      <alignment horizontal="center" vertical="top" wrapText="1"/>
    </xf>
    <xf numFmtId="173" fontId="2" fillId="4" borderId="65" xfId="0" applyNumberFormat="1" applyFont="1" applyFill="1" applyBorder="1" applyAlignment="1">
      <alignment horizontal="center" vertical="center"/>
    </xf>
    <xf numFmtId="173" fontId="2" fillId="0" borderId="66" xfId="0" applyNumberFormat="1" applyFont="1" applyFill="1" applyBorder="1" applyAlignment="1">
      <alignment horizontal="center" vertical="center"/>
    </xf>
    <xf numFmtId="173" fontId="53" fillId="0" borderId="9" xfId="0" applyNumberFormat="1" applyFont="1" applyFill="1" applyBorder="1" applyAlignment="1">
      <alignment horizontal="center" vertical="center" wrapText="1"/>
    </xf>
    <xf numFmtId="173" fontId="70" fillId="0" borderId="9" xfId="0" applyNumberFormat="1" applyFont="1" applyFill="1" applyBorder="1" applyAlignment="1">
      <alignment horizontal="center" vertical="center" wrapText="1"/>
    </xf>
    <xf numFmtId="173" fontId="49" fillId="0" borderId="9" xfId="0" applyNumberFormat="1" applyFont="1" applyBorder="1" applyAlignment="1">
      <alignment horizontal="center" vertical="center"/>
    </xf>
    <xf numFmtId="173" fontId="49" fillId="0" borderId="25" xfId="0" applyNumberFormat="1" applyFont="1" applyBorder="1" applyAlignment="1">
      <alignment horizontal="center" vertical="center"/>
    </xf>
    <xf numFmtId="173" fontId="53" fillId="6" borderId="35" xfId="0" applyNumberFormat="1" applyFont="1" applyFill="1" applyBorder="1" applyAlignment="1">
      <alignment horizontal="center" vertical="top" wrapText="1"/>
    </xf>
    <xf numFmtId="173" fontId="53" fillId="4" borderId="55" xfId="0" applyNumberFormat="1" applyFont="1" applyFill="1" applyBorder="1" applyAlignment="1">
      <alignment horizontal="center" vertical="center" wrapText="1"/>
    </xf>
    <xf numFmtId="173" fontId="53" fillId="0" borderId="27" xfId="0" applyNumberFormat="1" applyFont="1" applyFill="1" applyBorder="1" applyAlignment="1">
      <alignment horizontal="center" vertical="center" wrapText="1"/>
    </xf>
    <xf numFmtId="173" fontId="70" fillId="0" borderId="1" xfId="0" applyNumberFormat="1" applyFont="1" applyFill="1" applyBorder="1" applyAlignment="1">
      <alignment horizontal="center" vertical="center" wrapText="1"/>
    </xf>
    <xf numFmtId="173" fontId="70" fillId="0" borderId="58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7" fillId="7" borderId="67" xfId="0" applyFont="1" applyFill="1" applyBorder="1" applyAlignment="1">
      <alignment horizontal="center" vertical="center" wrapText="1"/>
    </xf>
    <xf numFmtId="173" fontId="72" fillId="0" borderId="1" xfId="0" applyNumberFormat="1" applyFont="1" applyBorder="1" applyAlignment="1">
      <alignment horizontal="center" vertical="center" wrapText="1"/>
    </xf>
    <xf numFmtId="173" fontId="13" fillId="0" borderId="58" xfId="0" applyNumberFormat="1" applyFont="1" applyBorder="1" applyAlignment="1">
      <alignment horizontal="center" vertical="center" wrapText="1"/>
    </xf>
    <xf numFmtId="173" fontId="60" fillId="6" borderId="13" xfId="0" applyNumberFormat="1" applyFont="1" applyFill="1" applyBorder="1" applyAlignment="1">
      <alignment horizontal="center" vertical="top" wrapText="1"/>
    </xf>
    <xf numFmtId="0" fontId="8" fillId="0" borderId="6" xfId="0" applyFont="1" applyBorder="1"/>
    <xf numFmtId="173" fontId="57" fillId="0" borderId="68" xfId="0" applyNumberFormat="1" applyFont="1" applyFill="1" applyBorder="1" applyAlignment="1">
      <alignment horizontal="center" vertical="center" wrapText="1"/>
    </xf>
    <xf numFmtId="0" fontId="0" fillId="0" borderId="51" xfId="0" applyBorder="1"/>
    <xf numFmtId="0" fontId="2" fillId="0" borderId="40" xfId="0" applyFont="1" applyBorder="1" applyAlignment="1">
      <alignment horizontal="center"/>
    </xf>
    <xf numFmtId="0" fontId="28" fillId="0" borderId="6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61" fillId="6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22" fillId="5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23" fillId="5" borderId="16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3" fillId="5" borderId="16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3" fillId="6" borderId="16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49" fontId="52" fillId="0" borderId="4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25" fillId="5" borderId="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73" fontId="47" fillId="0" borderId="6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73" fontId="2" fillId="0" borderId="8" xfId="0" applyNumberFormat="1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5" fontId="57" fillId="0" borderId="68" xfId="0" applyNumberFormat="1" applyFont="1" applyFill="1" applyBorder="1" applyAlignment="1">
      <alignment horizontal="center" vertical="center" wrapText="1"/>
    </xf>
    <xf numFmtId="175" fontId="2" fillId="0" borderId="18" xfId="0" applyNumberFormat="1" applyFont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  <xf numFmtId="2" fontId="57" fillId="0" borderId="68" xfId="0" applyNumberFormat="1" applyFont="1" applyBorder="1" applyAlignment="1">
      <alignment horizontal="center" vertical="center" wrapText="1"/>
    </xf>
    <xf numFmtId="175" fontId="57" fillId="0" borderId="68" xfId="0" applyNumberFormat="1" applyFont="1" applyBorder="1" applyAlignment="1">
      <alignment horizontal="center" vertical="center" wrapText="1"/>
    </xf>
    <xf numFmtId="173" fontId="57" fillId="0" borderId="70" xfId="0" applyNumberFormat="1" applyFont="1" applyBorder="1" applyAlignment="1">
      <alignment horizontal="center" vertical="center" wrapText="1"/>
    </xf>
    <xf numFmtId="173" fontId="57" fillId="0" borderId="68" xfId="0" applyNumberFormat="1" applyFont="1" applyBorder="1" applyAlignment="1">
      <alignment horizontal="center" vertical="center" wrapText="1"/>
    </xf>
    <xf numFmtId="173" fontId="57" fillId="6" borderId="68" xfId="0" applyNumberFormat="1" applyFont="1" applyFill="1" applyBorder="1" applyAlignment="1">
      <alignment horizontal="center" vertical="center" wrapText="1"/>
    </xf>
    <xf numFmtId="2" fontId="57" fillId="0" borderId="71" xfId="0" applyNumberFormat="1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74" fillId="6" borderId="5" xfId="0" applyFont="1" applyFill="1" applyBorder="1" applyAlignment="1">
      <alignment horizontal="center" vertical="center" wrapText="1"/>
    </xf>
    <xf numFmtId="0" fontId="74" fillId="6" borderId="2" xfId="0" applyFont="1" applyFill="1" applyBorder="1" applyAlignment="1">
      <alignment horizontal="center" vertical="center" wrapText="1"/>
    </xf>
    <xf numFmtId="2" fontId="56" fillId="0" borderId="22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173" fontId="56" fillId="0" borderId="50" xfId="0" applyNumberFormat="1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74" fillId="5" borderId="5" xfId="0" applyFont="1" applyFill="1" applyBorder="1" applyAlignment="1">
      <alignment horizontal="center" vertical="center" wrapText="1"/>
    </xf>
    <xf numFmtId="0" fontId="74" fillId="5" borderId="2" xfId="0" applyFont="1" applyFill="1" applyBorder="1" applyAlignment="1">
      <alignment horizontal="center" vertical="center" wrapText="1"/>
    </xf>
    <xf numFmtId="173" fontId="57" fillId="5" borderId="68" xfId="0" applyNumberFormat="1" applyFont="1" applyFill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175" fontId="57" fillId="5" borderId="68" xfId="0" applyNumberFormat="1" applyFont="1" applyFill="1" applyBorder="1" applyAlignment="1">
      <alignment horizontal="center" vertical="center" wrapText="1"/>
    </xf>
    <xf numFmtId="2" fontId="56" fillId="0" borderId="36" xfId="0" applyNumberFormat="1" applyFont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top" wrapText="1"/>
    </xf>
    <xf numFmtId="0" fontId="24" fillId="3" borderId="61" xfId="0" applyFont="1" applyFill="1" applyBorder="1" applyAlignment="1">
      <alignment horizontal="center" vertical="top" wrapText="1"/>
    </xf>
    <xf numFmtId="0" fontId="23" fillId="3" borderId="63" xfId="0" applyFont="1" applyFill="1" applyBorder="1"/>
    <xf numFmtId="173" fontId="60" fillId="3" borderId="55" xfId="0" applyNumberFormat="1" applyFont="1" applyFill="1" applyBorder="1" applyAlignment="1">
      <alignment horizontal="center" vertical="top" wrapText="1"/>
    </xf>
    <xf numFmtId="49" fontId="56" fillId="0" borderId="2" xfId="0" applyNumberFormat="1" applyFont="1" applyBorder="1" applyAlignment="1">
      <alignment horizontal="center" vertical="center" wrapText="1"/>
    </xf>
    <xf numFmtId="173" fontId="69" fillId="3" borderId="53" xfId="0" applyNumberFormat="1" applyFont="1" applyFill="1" applyBorder="1" applyAlignment="1">
      <alignment horizontal="center" vertical="center" wrapText="1"/>
    </xf>
    <xf numFmtId="173" fontId="69" fillId="6" borderId="54" xfId="0" applyNumberFormat="1" applyFont="1" applyFill="1" applyBorder="1" applyAlignment="1">
      <alignment horizontal="center" vertical="center" wrapText="1"/>
    </xf>
    <xf numFmtId="173" fontId="69" fillId="5" borderId="53" xfId="0" applyNumberFormat="1" applyFont="1" applyFill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9" borderId="21" xfId="0" applyFont="1" applyFill="1" applyBorder="1" applyAlignment="1">
      <alignment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67" xfId="0" applyFont="1" applyFill="1" applyBorder="1" applyAlignment="1">
      <alignment horizontal="center" vertical="center" wrapText="1"/>
    </xf>
    <xf numFmtId="173" fontId="2" fillId="9" borderId="48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73" fontId="2" fillId="4" borderId="13" xfId="0" applyNumberFormat="1" applyFont="1" applyFill="1" applyBorder="1" applyAlignment="1">
      <alignment horizontal="center" vertical="center" wrapText="1"/>
    </xf>
    <xf numFmtId="173" fontId="2" fillId="0" borderId="72" xfId="0" applyNumberFormat="1" applyFont="1" applyBorder="1" applyAlignment="1">
      <alignment horizontal="center" vertical="center" wrapText="1"/>
    </xf>
    <xf numFmtId="0" fontId="2" fillId="9" borderId="21" xfId="0" applyFont="1" applyFill="1" applyBorder="1" applyAlignment="1">
      <alignment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9" borderId="6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3" fontId="13" fillId="0" borderId="59" xfId="0" applyNumberFormat="1" applyFont="1" applyBorder="1" applyAlignment="1">
      <alignment horizontal="center" vertical="center" wrapText="1"/>
    </xf>
    <xf numFmtId="173" fontId="2" fillId="0" borderId="59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5" fontId="3" fillId="0" borderId="1" xfId="0" applyNumberFormat="1" applyFont="1" applyFill="1" applyBorder="1" applyAlignment="1">
      <alignment horizontal="center" vertical="center"/>
    </xf>
    <xf numFmtId="49" fontId="2" fillId="2" borderId="58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75" fontId="10" fillId="2" borderId="5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9" borderId="36" xfId="0" applyFont="1" applyFill="1" applyBorder="1" applyAlignment="1">
      <alignment vertical="center" wrapText="1"/>
    </xf>
    <xf numFmtId="0" fontId="2" fillId="9" borderId="62" xfId="0" applyFont="1" applyFill="1" applyBorder="1" applyAlignment="1">
      <alignment horizontal="center" vertical="center" wrapText="1"/>
    </xf>
    <xf numFmtId="173" fontId="2" fillId="9" borderId="27" xfId="0" applyNumberFormat="1" applyFont="1" applyFill="1" applyBorder="1" applyAlignment="1">
      <alignment horizontal="center" vertical="center" wrapText="1"/>
    </xf>
    <xf numFmtId="49" fontId="14" fillId="7" borderId="40" xfId="0" applyNumberFormat="1" applyFont="1" applyFill="1" applyBorder="1" applyAlignment="1">
      <alignment horizontal="center" vertical="center"/>
    </xf>
    <xf numFmtId="175" fontId="10" fillId="0" borderId="25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/>
    <xf numFmtId="49" fontId="37" fillId="0" borderId="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73" fontId="18" fillId="0" borderId="1" xfId="0" applyNumberFormat="1" applyFont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left" vertical="center" wrapText="1"/>
    </xf>
    <xf numFmtId="173" fontId="2" fillId="9" borderId="16" xfId="0" applyNumberFormat="1" applyFont="1" applyFill="1" applyBorder="1" applyAlignment="1">
      <alignment horizontal="center" vertical="center" wrapText="1"/>
    </xf>
    <xf numFmtId="173" fontId="2" fillId="4" borderId="4" xfId="0" applyNumberFormat="1" applyFont="1" applyFill="1" applyBorder="1" applyAlignment="1">
      <alignment horizontal="center" vertical="center" wrapText="1"/>
    </xf>
    <xf numFmtId="175" fontId="18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5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8" fillId="0" borderId="1" xfId="0" applyNumberFormat="1" applyFont="1" applyBorder="1" applyAlignment="1">
      <alignment horizontal="center" vertical="center" wrapText="1"/>
    </xf>
    <xf numFmtId="175" fontId="77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71" fillId="0" borderId="5" xfId="0" applyFont="1" applyBorder="1" applyAlignment="1">
      <alignment vertical="center" wrapText="1"/>
    </xf>
    <xf numFmtId="49" fontId="7" fillId="11" borderId="1" xfId="0" applyNumberFormat="1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49" fontId="7" fillId="12" borderId="48" xfId="0" applyNumberFormat="1" applyFont="1" applyFill="1" applyBorder="1" applyAlignment="1">
      <alignment horizontal="center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center" vertical="center" wrapText="1"/>
    </xf>
    <xf numFmtId="49" fontId="17" fillId="0" borderId="59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49" fontId="77" fillId="0" borderId="59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 vertical="center"/>
    </xf>
    <xf numFmtId="49" fontId="58" fillId="0" borderId="59" xfId="0" applyNumberFormat="1" applyFont="1" applyFill="1" applyBorder="1" applyAlignment="1">
      <alignment horizontal="center" vertical="center"/>
    </xf>
    <xf numFmtId="175" fontId="9" fillId="0" borderId="28" xfId="0" applyNumberFormat="1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173" fontId="2" fillId="0" borderId="14" xfId="0" applyNumberFormat="1" applyFont="1" applyBorder="1"/>
    <xf numFmtId="0" fontId="16" fillId="0" borderId="6" xfId="0" applyFont="1" applyBorder="1"/>
    <xf numFmtId="49" fontId="19" fillId="0" borderId="9" xfId="0" applyNumberFormat="1" applyFont="1" applyFill="1" applyBorder="1" applyAlignment="1">
      <alignment horizontal="center" vertical="center"/>
    </xf>
    <xf numFmtId="49" fontId="13" fillId="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49" fontId="38" fillId="8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5" fontId="8" fillId="0" borderId="18" xfId="0" applyNumberFormat="1" applyFont="1" applyFill="1" applyBorder="1" applyAlignment="1">
      <alignment horizontal="center" vertical="center"/>
    </xf>
    <xf numFmtId="0" fontId="77" fillId="0" borderId="5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49" fontId="19" fillId="4" borderId="19" xfId="0" applyNumberFormat="1" applyFont="1" applyFill="1" applyBorder="1" applyAlignment="1">
      <alignment horizontal="center" vertical="center" wrapText="1"/>
    </xf>
    <xf numFmtId="49" fontId="19" fillId="4" borderId="9" xfId="0" applyNumberFormat="1" applyFont="1" applyFill="1" applyBorder="1" applyAlignment="1">
      <alignment horizontal="center" vertical="center" wrapText="1"/>
    </xf>
    <xf numFmtId="175" fontId="19" fillId="4" borderId="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9" fontId="9" fillId="0" borderId="73" xfId="0" applyNumberFormat="1" applyFont="1" applyBorder="1" applyAlignment="1">
      <alignment horizontal="center" vertical="center"/>
    </xf>
    <xf numFmtId="49" fontId="5" fillId="8" borderId="59" xfId="0" applyNumberFormat="1" applyFont="1" applyFill="1" applyBorder="1" applyAlignment="1">
      <alignment wrapText="1" readingOrder="1"/>
    </xf>
    <xf numFmtId="49" fontId="2" fillId="2" borderId="59" xfId="0" applyNumberFormat="1" applyFont="1" applyFill="1" applyBorder="1" applyAlignment="1">
      <alignment wrapText="1" readingOrder="1"/>
    </xf>
    <xf numFmtId="49" fontId="3" fillId="0" borderId="59" xfId="0" applyNumberFormat="1" applyFont="1" applyFill="1" applyBorder="1" applyAlignment="1">
      <alignment wrapText="1" readingOrder="1"/>
    </xf>
    <xf numFmtId="49" fontId="9" fillId="0" borderId="59" xfId="0" applyNumberFormat="1" applyFont="1" applyFill="1" applyBorder="1" applyAlignment="1">
      <alignment wrapText="1" readingOrder="1"/>
    </xf>
    <xf numFmtId="49" fontId="12" fillId="0" borderId="59" xfId="0" applyNumberFormat="1" applyFont="1" applyFill="1" applyBorder="1" applyAlignment="1">
      <alignment wrapText="1" readingOrder="1"/>
    </xf>
    <xf numFmtId="49" fontId="13" fillId="0" borderId="59" xfId="0" applyNumberFormat="1" applyFont="1" applyFill="1" applyBorder="1" applyAlignment="1">
      <alignment wrapText="1" readingOrder="1"/>
    </xf>
    <xf numFmtId="49" fontId="2" fillId="0" borderId="59" xfId="0" applyNumberFormat="1" applyFont="1" applyFill="1" applyBorder="1" applyAlignment="1">
      <alignment wrapText="1" readingOrder="1"/>
    </xf>
    <xf numFmtId="49" fontId="7" fillId="2" borderId="59" xfId="0" applyNumberFormat="1" applyFont="1" applyFill="1" applyBorder="1" applyAlignment="1">
      <alignment wrapText="1" readingOrder="1"/>
    </xf>
    <xf numFmtId="0" fontId="3" fillId="0" borderId="59" xfId="0" applyFont="1" applyFill="1" applyBorder="1" applyAlignment="1">
      <alignment wrapText="1"/>
    </xf>
    <xf numFmtId="49" fontId="19" fillId="0" borderId="59" xfId="0" applyNumberFormat="1" applyFont="1" applyFill="1" applyBorder="1" applyAlignment="1">
      <alignment wrapText="1" readingOrder="1"/>
    </xf>
    <xf numFmtId="49" fontId="15" fillId="0" borderId="59" xfId="0" applyNumberFormat="1" applyFont="1" applyFill="1" applyBorder="1" applyAlignment="1">
      <alignment wrapText="1" readingOrder="1"/>
    </xf>
    <xf numFmtId="49" fontId="14" fillId="0" borderId="59" xfId="0" applyNumberFormat="1" applyFont="1" applyFill="1" applyBorder="1" applyAlignment="1">
      <alignment wrapText="1" readingOrder="1"/>
    </xf>
    <xf numFmtId="0" fontId="3" fillId="0" borderId="5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0" borderId="59" xfId="0" applyFont="1" applyFill="1" applyBorder="1" applyAlignment="1">
      <alignment horizontal="left" vertical="center" wrapText="1"/>
    </xf>
    <xf numFmtId="49" fontId="5" fillId="0" borderId="59" xfId="0" applyNumberFormat="1" applyFont="1" applyFill="1" applyBorder="1" applyAlignment="1">
      <alignment wrapText="1" readingOrder="1"/>
    </xf>
    <xf numFmtId="49" fontId="8" fillId="0" borderId="59" xfId="0" applyNumberFormat="1" applyFont="1" applyFill="1" applyBorder="1" applyAlignment="1">
      <alignment wrapText="1" readingOrder="1"/>
    </xf>
    <xf numFmtId="0" fontId="3" fillId="0" borderId="9" xfId="0" applyFont="1" applyBorder="1" applyAlignment="1">
      <alignment vertical="center" wrapText="1"/>
    </xf>
    <xf numFmtId="49" fontId="3" fillId="4" borderId="59" xfId="0" applyNumberFormat="1" applyFont="1" applyFill="1" applyBorder="1" applyAlignment="1">
      <alignment horizontal="left" vertical="center" wrapText="1" readingOrder="1"/>
    </xf>
    <xf numFmtId="49" fontId="3" fillId="0" borderId="59" xfId="0" applyNumberFormat="1" applyFont="1" applyFill="1" applyBorder="1" applyAlignment="1">
      <alignment horizontal="left" wrapText="1" readingOrder="1"/>
    </xf>
    <xf numFmtId="49" fontId="3" fillId="4" borderId="59" xfId="0" applyNumberFormat="1" applyFont="1" applyFill="1" applyBorder="1" applyAlignment="1">
      <alignment horizontal="left" wrapText="1" readingOrder="1"/>
    </xf>
    <xf numFmtId="49" fontId="3" fillId="0" borderId="59" xfId="0" applyNumberFormat="1" applyFont="1" applyFill="1" applyBorder="1" applyAlignment="1">
      <alignment horizontal="left" vertical="center" wrapText="1" readingOrder="1"/>
    </xf>
    <xf numFmtId="49" fontId="13" fillId="0" borderId="59" xfId="0" applyNumberFormat="1" applyFont="1" applyFill="1" applyBorder="1" applyAlignment="1">
      <alignment horizontal="left" wrapText="1" readingOrder="1"/>
    </xf>
    <xf numFmtId="49" fontId="5" fillId="0" borderId="59" xfId="0" applyNumberFormat="1" applyFont="1" applyFill="1" applyBorder="1" applyAlignment="1">
      <alignment horizontal="left" wrapText="1" readingOrder="1"/>
    </xf>
    <xf numFmtId="175" fontId="11" fillId="0" borderId="58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13" fillId="12" borderId="74" xfId="0" applyFont="1" applyFill="1" applyBorder="1" applyAlignment="1">
      <alignment horizontal="center" vertical="center" wrapText="1"/>
    </xf>
    <xf numFmtId="0" fontId="13" fillId="12" borderId="7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49" fontId="9" fillId="10" borderId="10" xfId="0" applyNumberFormat="1" applyFont="1" applyFill="1" applyBorder="1" applyAlignment="1">
      <alignment horizontal="center" vertical="center"/>
    </xf>
    <xf numFmtId="49" fontId="9" fillId="2" borderId="67" xfId="0" applyNumberFormat="1" applyFont="1" applyFill="1" applyBorder="1" applyAlignment="1">
      <alignment horizontal="center" vertical="center"/>
    </xf>
    <xf numFmtId="175" fontId="8" fillId="10" borderId="13" xfId="0" applyNumberFormat="1" applyFont="1" applyFill="1" applyBorder="1" applyAlignment="1">
      <alignment horizontal="center" vertical="center"/>
    </xf>
    <xf numFmtId="175" fontId="77" fillId="2" borderId="4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9" borderId="5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75" fontId="8" fillId="2" borderId="1" xfId="0" applyNumberFormat="1" applyFont="1" applyFill="1" applyBorder="1" applyAlignment="1">
      <alignment horizontal="center" vertical="center"/>
    </xf>
    <xf numFmtId="173" fontId="81" fillId="0" borderId="2" xfId="0" applyNumberFormat="1" applyFont="1" applyFill="1" applyBorder="1" applyAlignment="1">
      <alignment horizontal="center" vertical="center" wrapText="1"/>
    </xf>
    <xf numFmtId="173" fontId="81" fillId="0" borderId="19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49" fontId="83" fillId="0" borderId="5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73" fontId="58" fillId="0" borderId="58" xfId="0" applyNumberFormat="1" applyFont="1" applyBorder="1" applyAlignment="1">
      <alignment horizontal="center" vertical="center" wrapText="1"/>
    </xf>
    <xf numFmtId="0" fontId="3" fillId="11" borderId="5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horizontal="center" vertical="center" wrapText="1"/>
    </xf>
    <xf numFmtId="49" fontId="19" fillId="11" borderId="9" xfId="0" applyNumberFormat="1" applyFont="1" applyFill="1" applyBorder="1" applyAlignment="1">
      <alignment horizontal="center" vertical="center" wrapText="1"/>
    </xf>
    <xf numFmtId="175" fontId="19" fillId="11" borderId="1" xfId="0" applyNumberFormat="1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173" fontId="58" fillId="0" borderId="16" xfId="0" applyNumberFormat="1" applyFont="1" applyBorder="1" applyAlignment="1">
      <alignment horizontal="center" vertical="center" wrapText="1"/>
    </xf>
    <xf numFmtId="173" fontId="8" fillId="0" borderId="16" xfId="0" applyNumberFormat="1" applyFont="1" applyBorder="1" applyAlignment="1">
      <alignment horizontal="center" vertical="center" wrapText="1"/>
    </xf>
    <xf numFmtId="173" fontId="19" fillId="0" borderId="16" xfId="0" applyNumberFormat="1" applyFont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58" fillId="0" borderId="2" xfId="0" applyNumberFormat="1" applyFont="1" applyBorder="1" applyAlignment="1" applyProtection="1">
      <alignment horizontal="center" vertical="center" wrapText="1"/>
      <protection locked="0"/>
    </xf>
    <xf numFmtId="173" fontId="13" fillId="0" borderId="57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2" xfId="0" applyBorder="1" applyAlignment="1">
      <alignment wrapText="1"/>
    </xf>
    <xf numFmtId="0" fontId="7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2" fontId="71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0" xfId="0" applyNumberFormat="1" applyProtection="1">
      <protection locked="0"/>
    </xf>
    <xf numFmtId="0" fontId="5" fillId="0" borderId="6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5" fontId="2" fillId="11" borderId="48" xfId="0" applyNumberFormat="1" applyFont="1" applyFill="1" applyBorder="1" applyAlignment="1">
      <alignment horizontal="center" vertical="center"/>
    </xf>
    <xf numFmtId="49" fontId="7" fillId="12" borderId="13" xfId="0" applyNumberFormat="1" applyFont="1" applyFill="1" applyBorder="1" applyAlignment="1">
      <alignment horizontal="center" vertical="center" wrapText="1"/>
    </xf>
    <xf numFmtId="49" fontId="7" fillId="12" borderId="6" xfId="0" applyNumberFormat="1" applyFont="1" applyFill="1" applyBorder="1" applyAlignment="1">
      <alignment horizontal="center" vertical="center" wrapText="1"/>
    </xf>
    <xf numFmtId="49" fontId="7" fillId="12" borderId="14" xfId="0" applyNumberFormat="1" applyFont="1" applyFill="1" applyBorder="1" applyAlignment="1">
      <alignment horizontal="center" vertical="center" wrapText="1"/>
    </xf>
    <xf numFmtId="49" fontId="7" fillId="12" borderId="18" xfId="0" applyNumberFormat="1" applyFont="1" applyFill="1" applyBorder="1" applyAlignment="1">
      <alignment horizontal="center" vertical="center" wrapText="1"/>
    </xf>
    <xf numFmtId="175" fontId="7" fillId="12" borderId="1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173" fontId="58" fillId="0" borderId="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73" fontId="8" fillId="0" borderId="53" xfId="0" applyNumberFormat="1" applyFont="1" applyBorder="1"/>
    <xf numFmtId="0" fontId="85" fillId="0" borderId="0" xfId="0" applyFont="1" applyAlignment="1">
      <alignment horizontal="justify"/>
    </xf>
    <xf numFmtId="0" fontId="85" fillId="0" borderId="0" xfId="0" applyFont="1"/>
    <xf numFmtId="0" fontId="85" fillId="0" borderId="0" xfId="0" applyFont="1" applyAlignment="1">
      <alignment horizontal="center"/>
    </xf>
    <xf numFmtId="0" fontId="85" fillId="0" borderId="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center" vertical="top" wrapText="1"/>
    </xf>
    <xf numFmtId="173" fontId="85" fillId="0" borderId="2" xfId="0" applyNumberFormat="1" applyFont="1" applyBorder="1" applyAlignment="1">
      <alignment horizontal="center" vertical="top" wrapText="1"/>
    </xf>
    <xf numFmtId="0" fontId="87" fillId="0" borderId="2" xfId="0" applyFont="1" applyBorder="1" applyAlignment="1">
      <alignment vertical="top" wrapText="1"/>
    </xf>
    <xf numFmtId="0" fontId="87" fillId="0" borderId="2" xfId="0" applyFont="1" applyBorder="1" applyAlignment="1">
      <alignment horizontal="left" vertical="top" wrapText="1"/>
    </xf>
    <xf numFmtId="0" fontId="87" fillId="0" borderId="24" xfId="0" applyFont="1" applyBorder="1" applyAlignment="1">
      <alignment vertical="top" wrapText="1"/>
    </xf>
    <xf numFmtId="173" fontId="85" fillId="0" borderId="24" xfId="0" applyNumberFormat="1" applyFont="1" applyBorder="1" applyAlignment="1">
      <alignment horizontal="center" vertical="top" wrapText="1"/>
    </xf>
    <xf numFmtId="0" fontId="85" fillId="0" borderId="6" xfId="0" applyFont="1" applyBorder="1" applyAlignment="1">
      <alignment horizontal="center" vertical="top" wrapText="1"/>
    </xf>
    <xf numFmtId="0" fontId="85" fillId="0" borderId="14" xfId="0" applyFont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top" wrapText="1"/>
    </xf>
    <xf numFmtId="0" fontId="85" fillId="0" borderId="21" xfId="0" applyNumberFormat="1" applyFont="1" applyBorder="1" applyAlignment="1" applyProtection="1">
      <alignment horizontal="center" vertical="top" wrapText="1"/>
      <protection locked="0"/>
    </xf>
    <xf numFmtId="0" fontId="85" fillId="0" borderId="22" xfId="0" applyFont="1" applyBorder="1" applyAlignment="1">
      <alignment horizontal="center" vertical="top" wrapText="1"/>
    </xf>
    <xf numFmtId="0" fontId="85" fillId="0" borderId="5" xfId="0" applyNumberFormat="1" applyFont="1" applyBorder="1" applyAlignment="1" applyProtection="1">
      <alignment horizontal="center" vertical="top" wrapText="1"/>
      <protection locked="0"/>
    </xf>
    <xf numFmtId="0" fontId="85" fillId="0" borderId="19" xfId="0" applyFont="1" applyBorder="1" applyAlignment="1">
      <alignment horizontal="center" vertical="top" wrapText="1"/>
    </xf>
    <xf numFmtId="0" fontId="85" fillId="0" borderId="29" xfId="0" applyNumberFormat="1" applyFont="1" applyBorder="1" applyAlignment="1" applyProtection="1">
      <alignment horizontal="center" vertical="top" wrapText="1"/>
      <protection locked="0"/>
    </xf>
    <xf numFmtId="0" fontId="87" fillId="0" borderId="38" xfId="0" applyFont="1" applyBorder="1" applyAlignment="1">
      <alignment horizontal="left" vertical="top" wrapText="1"/>
    </xf>
    <xf numFmtId="0" fontId="85" fillId="0" borderId="38" xfId="0" applyFont="1" applyBorder="1" applyAlignment="1">
      <alignment horizontal="center" vertical="top" wrapText="1"/>
    </xf>
    <xf numFmtId="0" fontId="85" fillId="0" borderId="30" xfId="0" applyFont="1" applyBorder="1" applyAlignment="1">
      <alignment horizontal="center" vertical="top" wrapText="1"/>
    </xf>
    <xf numFmtId="0" fontId="83" fillId="0" borderId="11" xfId="0" applyNumberFormat="1" applyFont="1" applyBorder="1" applyAlignment="1">
      <alignment vertical="center" wrapText="1"/>
    </xf>
    <xf numFmtId="0" fontId="83" fillId="0" borderId="2" xfId="0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wrapText="1"/>
    </xf>
    <xf numFmtId="49" fontId="31" fillId="6" borderId="5" xfId="0" applyNumberFormat="1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/>
    </xf>
    <xf numFmtId="49" fontId="33" fillId="6" borderId="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173" fontId="0" fillId="0" borderId="0" xfId="0" applyNumberFormat="1"/>
    <xf numFmtId="173" fontId="55" fillId="0" borderId="0" xfId="0" applyNumberFormat="1" applyFont="1" applyFill="1" applyBorder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left" vertical="center" wrapText="1"/>
    </xf>
    <xf numFmtId="0" fontId="2" fillId="13" borderId="24" xfId="0" applyFont="1" applyFill="1" applyBorder="1" applyAlignment="1">
      <alignment horizontal="center" vertical="center" wrapText="1"/>
    </xf>
    <xf numFmtId="49" fontId="9" fillId="13" borderId="2" xfId="0" applyNumberFormat="1" applyFont="1" applyFill="1" applyBorder="1" applyAlignment="1">
      <alignment horizontal="center" vertical="center" wrapText="1"/>
    </xf>
    <xf numFmtId="49" fontId="9" fillId="13" borderId="19" xfId="0" applyNumberFormat="1" applyFont="1" applyFill="1" applyBorder="1" applyAlignment="1">
      <alignment horizontal="center" vertical="center" wrapText="1"/>
    </xf>
    <xf numFmtId="49" fontId="9" fillId="13" borderId="9" xfId="0" applyNumberFormat="1" applyFont="1" applyFill="1" applyBorder="1" applyAlignment="1">
      <alignment horizontal="center" vertical="center" wrapText="1"/>
    </xf>
    <xf numFmtId="175" fontId="2" fillId="13" borderId="1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left" vertical="center" wrapText="1" readingOrder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175" fontId="2" fillId="2" borderId="48" xfId="0" applyNumberFormat="1" applyFont="1" applyFill="1" applyBorder="1" applyAlignment="1">
      <alignment horizontal="center" vertical="center"/>
    </xf>
    <xf numFmtId="49" fontId="7" fillId="12" borderId="8" xfId="0" applyNumberFormat="1" applyFont="1" applyFill="1" applyBorder="1" applyAlignment="1">
      <alignment horizontal="left" vertical="center" wrapText="1" readingOrder="1"/>
    </xf>
    <xf numFmtId="0" fontId="13" fillId="0" borderId="29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5" fontId="11" fillId="0" borderId="55" xfId="0" applyNumberFormat="1" applyFont="1" applyFill="1" applyBorder="1" applyAlignment="1">
      <alignment horizontal="center" vertical="center"/>
    </xf>
    <xf numFmtId="175" fontId="18" fillId="0" borderId="55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" fillId="14" borderId="5" xfId="0" applyNumberFormat="1" applyFont="1" applyFill="1" applyBorder="1" applyAlignment="1">
      <alignment horizontal="center" vertical="center" wrapText="1"/>
    </xf>
    <xf numFmtId="175" fontId="2" fillId="14" borderId="1" xfId="0" applyNumberFormat="1" applyFont="1" applyFill="1" applyBorder="1" applyAlignment="1">
      <alignment horizontal="center" vertical="center"/>
    </xf>
    <xf numFmtId="49" fontId="2" fillId="14" borderId="21" xfId="0" applyNumberFormat="1" applyFont="1" applyFill="1" applyBorder="1" applyAlignment="1">
      <alignment horizontal="center" vertical="center" wrapText="1"/>
    </xf>
    <xf numFmtId="175" fontId="2" fillId="14" borderId="48" xfId="0" applyNumberFormat="1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19" fillId="14" borderId="19" xfId="0" applyFont="1" applyFill="1" applyBorder="1" applyAlignment="1">
      <alignment horizontal="center" vertical="center"/>
    </xf>
    <xf numFmtId="49" fontId="19" fillId="14" borderId="59" xfId="0" applyNumberFormat="1" applyFont="1" applyFill="1" applyBorder="1" applyAlignment="1">
      <alignment horizontal="center" vertical="center"/>
    </xf>
    <xf numFmtId="49" fontId="7" fillId="14" borderId="1" xfId="0" applyNumberFormat="1" applyFont="1" applyFill="1" applyBorder="1" applyAlignment="1">
      <alignment horizontal="center" vertical="center"/>
    </xf>
    <xf numFmtId="49" fontId="9" fillId="14" borderId="24" xfId="0" applyNumberFormat="1" applyFont="1" applyFill="1" applyBorder="1" applyAlignment="1">
      <alignment horizontal="center" vertical="center" wrapText="1"/>
    </xf>
    <xf numFmtId="49" fontId="2" fillId="14" borderId="2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 wrapText="1"/>
    </xf>
    <xf numFmtId="49" fontId="2" fillId="14" borderId="2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77" fillId="0" borderId="57" xfId="0" applyNumberFormat="1" applyFont="1" applyFill="1" applyBorder="1" applyAlignment="1">
      <alignment horizontal="center" vertical="center"/>
    </xf>
    <xf numFmtId="49" fontId="7" fillId="14" borderId="48" xfId="0" applyNumberFormat="1" applyFont="1" applyFill="1" applyBorder="1" applyAlignment="1">
      <alignment horizontal="center" vertical="center"/>
    </xf>
    <xf numFmtId="49" fontId="58" fillId="14" borderId="22" xfId="0" applyNumberFormat="1" applyFont="1" applyFill="1" applyBorder="1" applyAlignment="1">
      <alignment horizontal="center" vertical="center" wrapText="1"/>
    </xf>
    <xf numFmtId="49" fontId="10" fillId="14" borderId="23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/>
    </xf>
    <xf numFmtId="49" fontId="19" fillId="11" borderId="23" xfId="0" applyNumberFormat="1" applyFont="1" applyFill="1" applyBorder="1" applyAlignment="1">
      <alignment horizontal="center" vertical="center"/>
    </xf>
    <xf numFmtId="175" fontId="11" fillId="0" borderId="72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wrapText="1" readingOrder="1"/>
    </xf>
    <xf numFmtId="49" fontId="9" fillId="0" borderId="68" xfId="0" applyNumberFormat="1" applyFont="1" applyFill="1" applyBorder="1" applyAlignment="1">
      <alignment wrapText="1" readingOrder="1"/>
    </xf>
    <xf numFmtId="49" fontId="7" fillId="14" borderId="68" xfId="0" applyNumberFormat="1" applyFont="1" applyFill="1" applyBorder="1" applyAlignment="1">
      <alignment wrapText="1" readingOrder="1"/>
    </xf>
    <xf numFmtId="0" fontId="3" fillId="0" borderId="68" xfId="0" applyFont="1" applyBorder="1" applyAlignment="1">
      <alignment vertical="center" wrapText="1"/>
    </xf>
    <xf numFmtId="49" fontId="7" fillId="14" borderId="77" xfId="0" applyNumberFormat="1" applyFont="1" applyFill="1" applyBorder="1" applyAlignment="1">
      <alignment horizontal="left" vertical="center" wrapText="1" readingOrder="1"/>
    </xf>
    <xf numFmtId="49" fontId="9" fillId="0" borderId="56" xfId="0" applyNumberFormat="1" applyFont="1" applyFill="1" applyBorder="1" applyAlignment="1">
      <alignment wrapText="1" readingOrder="1"/>
    </xf>
    <xf numFmtId="49" fontId="3" fillId="4" borderId="68" xfId="0" applyNumberFormat="1" applyFont="1" applyFill="1" applyBorder="1" applyAlignment="1">
      <alignment horizontal="left" vertical="center" wrapText="1" readingOrder="1"/>
    </xf>
    <xf numFmtId="49" fontId="3" fillId="0" borderId="68" xfId="0" applyNumberFormat="1" applyFont="1" applyFill="1" applyBorder="1" applyAlignment="1">
      <alignment horizontal="left" wrapText="1" readingOrder="1"/>
    </xf>
    <xf numFmtId="177" fontId="3" fillId="0" borderId="68" xfId="0" applyNumberFormat="1" applyFont="1" applyFill="1" applyBorder="1" applyAlignment="1" applyProtection="1">
      <alignment horizontal="left" wrapText="1" readingOrder="1"/>
      <protection locked="0"/>
    </xf>
    <xf numFmtId="49" fontId="3" fillId="4" borderId="68" xfId="0" applyNumberFormat="1" applyFont="1" applyFill="1" applyBorder="1" applyAlignment="1">
      <alignment horizontal="left" wrapText="1" readingOrder="1"/>
    </xf>
    <xf numFmtId="0" fontId="7" fillId="11" borderId="77" xfId="0" applyFont="1" applyFill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49" fontId="13" fillId="0" borderId="28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7" fillId="15" borderId="23" xfId="0" applyNumberFormat="1" applyFont="1" applyFill="1" applyBorder="1" applyAlignment="1">
      <alignment horizontal="left" vertical="center" wrapText="1" readingOrder="1"/>
    </xf>
    <xf numFmtId="49" fontId="7" fillId="15" borderId="48" xfId="0" applyNumberFormat="1" applyFont="1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 wrapText="1"/>
    </xf>
    <xf numFmtId="49" fontId="63" fillId="15" borderId="26" xfId="0" applyNumberFormat="1" applyFont="1" applyFill="1" applyBorder="1" applyAlignment="1">
      <alignment horizontal="center" vertical="center" wrapText="1"/>
    </xf>
    <xf numFmtId="175" fontId="8" fillId="15" borderId="48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 wrapText="1"/>
    </xf>
    <xf numFmtId="49" fontId="2" fillId="15" borderId="24" xfId="0" applyNumberFormat="1" applyFont="1" applyFill="1" applyBorder="1" applyAlignment="1">
      <alignment horizontal="center" vertical="center" wrapText="1"/>
    </xf>
    <xf numFmtId="49" fontId="2" fillId="15" borderId="22" xfId="0" applyNumberFormat="1" applyFont="1" applyFill="1" applyBorder="1" applyAlignment="1">
      <alignment horizontal="center" vertical="center" wrapText="1"/>
    </xf>
    <xf numFmtId="49" fontId="2" fillId="15" borderId="26" xfId="0" applyNumberFormat="1" applyFont="1" applyFill="1" applyBorder="1" applyAlignment="1">
      <alignment horizontal="center" vertical="center" wrapText="1"/>
    </xf>
    <xf numFmtId="175" fontId="2" fillId="15" borderId="48" xfId="0" applyNumberFormat="1" applyFont="1" applyFill="1" applyBorder="1" applyAlignment="1">
      <alignment horizontal="center" vertical="center"/>
    </xf>
    <xf numFmtId="49" fontId="7" fillId="15" borderId="1" xfId="0" applyNumberFormat="1" applyFont="1" applyFill="1" applyBorder="1" applyAlignment="1">
      <alignment horizontal="center" vertical="center"/>
    </xf>
    <xf numFmtId="49" fontId="2" fillId="15" borderId="5" xfId="0" applyNumberFormat="1" applyFont="1" applyFill="1" applyBorder="1" applyAlignment="1">
      <alignment horizontal="center" vertical="center" wrapText="1"/>
    </xf>
    <xf numFmtId="49" fontId="9" fillId="15" borderId="22" xfId="0" applyNumberFormat="1" applyFont="1" applyFill="1" applyBorder="1" applyAlignment="1">
      <alignment horizontal="center" vertical="center" wrapText="1"/>
    </xf>
    <xf numFmtId="175" fontId="2" fillId="15" borderId="1" xfId="0" applyNumberFormat="1" applyFont="1" applyFill="1" applyBorder="1" applyAlignment="1">
      <alignment horizontal="center" vertical="center"/>
    </xf>
    <xf numFmtId="49" fontId="9" fillId="15" borderId="24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center" vertical="center" wrapText="1"/>
    </xf>
    <xf numFmtId="49" fontId="2" fillId="15" borderId="2" xfId="0" applyNumberFormat="1" applyFont="1" applyFill="1" applyBorder="1" applyAlignment="1">
      <alignment horizontal="center" vertical="center"/>
    </xf>
    <xf numFmtId="49" fontId="7" fillId="15" borderId="59" xfId="0" applyNumberFormat="1" applyFont="1" applyFill="1" applyBorder="1" applyAlignment="1">
      <alignment wrapText="1" readingOrder="1"/>
    </xf>
    <xf numFmtId="0" fontId="19" fillId="15" borderId="2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49" fontId="7" fillId="15" borderId="1" xfId="0" applyNumberFormat="1" applyFont="1" applyFill="1" applyBorder="1" applyAlignment="1">
      <alignment horizontal="center" vertic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49" fontId="7" fillId="15" borderId="68" xfId="0" applyNumberFormat="1" applyFont="1" applyFill="1" applyBorder="1" applyAlignment="1">
      <alignment wrapText="1" readingOrder="1"/>
    </xf>
    <xf numFmtId="49" fontId="19" fillId="15" borderId="59" xfId="0" applyNumberFormat="1" applyFont="1" applyFill="1" applyBorder="1" applyAlignment="1">
      <alignment horizontal="center" vertical="center"/>
    </xf>
    <xf numFmtId="49" fontId="17" fillId="15" borderId="72" xfId="0" applyNumberFormat="1" applyFont="1" applyFill="1" applyBorder="1" applyAlignment="1">
      <alignment horizontal="center" vertical="center"/>
    </xf>
    <xf numFmtId="0" fontId="7" fillId="15" borderId="54" xfId="0" applyFont="1" applyFill="1" applyBorder="1" applyAlignment="1">
      <alignment vertical="center" wrapText="1"/>
    </xf>
    <xf numFmtId="0" fontId="8" fillId="15" borderId="41" xfId="0" applyFont="1" applyFill="1" applyBorder="1" applyAlignment="1">
      <alignment horizontal="center" vertical="center" wrapText="1"/>
    </xf>
    <xf numFmtId="49" fontId="8" fillId="15" borderId="0" xfId="0" applyNumberFormat="1" applyFont="1" applyFill="1" applyBorder="1" applyAlignment="1">
      <alignment horizontal="center" vertical="center"/>
    </xf>
    <xf numFmtId="175" fontId="8" fillId="15" borderId="72" xfId="0" applyNumberFormat="1" applyFont="1" applyFill="1" applyBorder="1" applyAlignment="1">
      <alignment horizontal="center" vertical="center"/>
    </xf>
    <xf numFmtId="0" fontId="7" fillId="15" borderId="26" xfId="0" applyFont="1" applyFill="1" applyBorder="1" applyAlignment="1">
      <alignment vertical="center" wrapText="1"/>
    </xf>
    <xf numFmtId="0" fontId="8" fillId="15" borderId="24" xfId="0" applyFont="1" applyFill="1" applyBorder="1" applyAlignment="1">
      <alignment horizontal="center" vertical="center" wrapText="1"/>
    </xf>
    <xf numFmtId="175" fontId="8" fillId="15" borderId="55" xfId="0" applyNumberFormat="1" applyFont="1" applyFill="1" applyBorder="1" applyAlignment="1">
      <alignment horizontal="center" vertical="center"/>
    </xf>
    <xf numFmtId="0" fontId="7" fillId="16" borderId="53" xfId="0" applyFont="1" applyFill="1" applyBorder="1" applyAlignment="1">
      <alignment vertical="center" wrapText="1"/>
    </xf>
    <xf numFmtId="0" fontId="7" fillId="16" borderId="14" xfId="0" applyFont="1" applyFill="1" applyBorder="1" applyAlignment="1">
      <alignment horizontal="center" vertical="center" wrapText="1"/>
    </xf>
    <xf numFmtId="49" fontId="63" fillId="16" borderId="53" xfId="0" applyNumberFormat="1" applyFont="1" applyFill="1" applyBorder="1" applyAlignment="1">
      <alignment horizontal="center" vertical="center" wrapText="1"/>
    </xf>
    <xf numFmtId="175" fontId="17" fillId="16" borderId="13" xfId="0" applyNumberFormat="1" applyFont="1" applyFill="1" applyBorder="1" applyAlignment="1">
      <alignment horizontal="center" vertical="center"/>
    </xf>
    <xf numFmtId="49" fontId="7" fillId="16" borderId="13" xfId="0" applyNumberFormat="1" applyFont="1" applyFill="1" applyBorder="1" applyAlignment="1">
      <alignment horizontal="center" vertical="center" wrapText="1"/>
    </xf>
    <xf numFmtId="49" fontId="7" fillId="16" borderId="8" xfId="0" applyNumberFormat="1" applyFont="1" applyFill="1" applyBorder="1" applyAlignment="1">
      <alignment horizontal="left" vertical="center" wrapText="1" readingOrder="1"/>
    </xf>
    <xf numFmtId="49" fontId="7" fillId="16" borderId="6" xfId="0" applyNumberFormat="1" applyFont="1" applyFill="1" applyBorder="1" applyAlignment="1">
      <alignment horizontal="center" vertical="center" wrapText="1"/>
    </xf>
    <xf numFmtId="49" fontId="7" fillId="16" borderId="14" xfId="0" applyNumberFormat="1" applyFont="1" applyFill="1" applyBorder="1" applyAlignment="1">
      <alignment horizontal="center" vertical="center" wrapText="1"/>
    </xf>
    <xf numFmtId="49" fontId="7" fillId="16" borderId="18" xfId="0" applyNumberFormat="1" applyFont="1" applyFill="1" applyBorder="1" applyAlignment="1">
      <alignment horizontal="center" vertical="center" wrapText="1"/>
    </xf>
    <xf numFmtId="49" fontId="7" fillId="16" borderId="53" xfId="0" applyNumberFormat="1" applyFont="1" applyFill="1" applyBorder="1" applyAlignment="1">
      <alignment horizontal="center" vertical="center" wrapText="1"/>
    </xf>
    <xf numFmtId="175" fontId="7" fillId="16" borderId="13" xfId="0" applyNumberFormat="1" applyFont="1" applyFill="1" applyBorder="1" applyAlignment="1">
      <alignment horizontal="center" vertical="center"/>
    </xf>
    <xf numFmtId="49" fontId="7" fillId="16" borderId="13" xfId="0" applyNumberFormat="1" applyFont="1" applyFill="1" applyBorder="1" applyAlignment="1">
      <alignment horizontal="center" vertical="center"/>
    </xf>
    <xf numFmtId="49" fontId="7" fillId="16" borderId="35" xfId="0" applyNumberFormat="1" applyFont="1" applyFill="1" applyBorder="1" applyAlignment="1">
      <alignment wrapText="1" readingOrder="1"/>
    </xf>
    <xf numFmtId="49" fontId="7" fillId="16" borderId="14" xfId="0" applyNumberFormat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/>
    </xf>
    <xf numFmtId="49" fontId="7" fillId="16" borderId="8" xfId="0" applyNumberFormat="1" applyFont="1" applyFill="1" applyBorder="1" applyAlignment="1">
      <alignment horizontal="center" vertical="center"/>
    </xf>
    <xf numFmtId="49" fontId="17" fillId="16" borderId="13" xfId="0" applyNumberFormat="1" applyFont="1" applyFill="1" applyBorder="1" applyAlignment="1">
      <alignment horizontal="center" vertical="center"/>
    </xf>
    <xf numFmtId="0" fontId="17" fillId="16" borderId="53" xfId="0" applyFont="1" applyFill="1" applyBorder="1" applyAlignment="1">
      <alignment vertical="center" wrapText="1"/>
    </xf>
    <xf numFmtId="0" fontId="17" fillId="16" borderId="14" xfId="0" applyFont="1" applyFill="1" applyBorder="1" applyAlignment="1">
      <alignment horizontal="center" vertical="center" wrapText="1"/>
    </xf>
    <xf numFmtId="49" fontId="17" fillId="16" borderId="8" xfId="0" applyNumberFormat="1" applyFont="1" applyFill="1" applyBorder="1" applyAlignment="1">
      <alignment horizontal="center" vertical="center"/>
    </xf>
    <xf numFmtId="49" fontId="17" fillId="16" borderId="13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wrapText="1" readingOrder="1"/>
    </xf>
    <xf numFmtId="49" fontId="7" fillId="15" borderId="48" xfId="0" applyNumberFormat="1" applyFont="1" applyFill="1" applyBorder="1" applyAlignment="1">
      <alignment horizontal="center" vertical="center"/>
    </xf>
    <xf numFmtId="49" fontId="2" fillId="15" borderId="24" xfId="0" applyNumberFormat="1" applyFont="1" applyFill="1" applyBorder="1" applyAlignment="1">
      <alignment horizontal="center" vertic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6" xfId="0" applyNumberFormat="1" applyFont="1" applyFill="1" applyBorder="1" applyAlignment="1">
      <alignment horizontal="center" vertical="center"/>
    </xf>
    <xf numFmtId="49" fontId="7" fillId="16" borderId="18" xfId="0" applyNumberFormat="1" applyFont="1" applyFill="1" applyBorder="1" applyAlignment="1">
      <alignment horizontal="center" vertical="center"/>
    </xf>
    <xf numFmtId="49" fontId="7" fillId="16" borderId="5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58" fillId="15" borderId="22" xfId="0" applyNumberFormat="1" applyFont="1" applyFill="1" applyBorder="1" applyAlignment="1">
      <alignment horizontal="center" vertical="center" wrapText="1"/>
    </xf>
    <xf numFmtId="49" fontId="10" fillId="15" borderId="26" xfId="0" applyNumberFormat="1" applyFont="1" applyFill="1" applyBorder="1" applyAlignment="1">
      <alignment horizontal="center" vertical="center"/>
    </xf>
    <xf numFmtId="49" fontId="63" fillId="16" borderId="14" xfId="0" applyNumberFormat="1" applyFont="1" applyFill="1" applyBorder="1" applyAlignment="1">
      <alignment horizontal="center" vertical="center" wrapText="1"/>
    </xf>
    <xf numFmtId="49" fontId="67" fillId="16" borderId="18" xfId="0" applyNumberFormat="1" applyFont="1" applyFill="1" applyBorder="1" applyAlignment="1">
      <alignment horizontal="center" vertical="center" wrapText="1"/>
    </xf>
    <xf numFmtId="49" fontId="63" fillId="16" borderId="53" xfId="0" applyNumberFormat="1" applyFont="1" applyFill="1" applyBorder="1" applyAlignment="1">
      <alignment horizontal="center" vertical="center"/>
    </xf>
    <xf numFmtId="49" fontId="63" fillId="16" borderId="18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left" vertical="center" wrapText="1" readingOrder="1"/>
    </xf>
    <xf numFmtId="49" fontId="5" fillId="0" borderId="7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5" fontId="17" fillId="0" borderId="58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wrapText="1" readingOrder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75" fontId="7" fillId="0" borderId="58" xfId="0" applyNumberFormat="1" applyFont="1" applyFill="1" applyBorder="1" applyAlignment="1">
      <alignment horizontal="center" vertical="center"/>
    </xf>
    <xf numFmtId="175" fontId="2" fillId="2" borderId="5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5" fontId="11" fillId="0" borderId="28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175" fontId="44" fillId="0" borderId="3" xfId="0" applyNumberFormat="1" applyFont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 wrapText="1"/>
    </xf>
    <xf numFmtId="175" fontId="18" fillId="0" borderId="41" xfId="0" applyNumberFormat="1" applyFont="1" applyBorder="1" applyAlignment="1">
      <alignment horizontal="center" vertical="center"/>
    </xf>
    <xf numFmtId="175" fontId="18" fillId="0" borderId="34" xfId="0" applyNumberFormat="1" applyFont="1" applyBorder="1" applyAlignment="1">
      <alignment horizontal="center" vertical="center"/>
    </xf>
    <xf numFmtId="175" fontId="18" fillId="0" borderId="54" xfId="0" applyNumberFormat="1" applyFont="1" applyBorder="1" applyAlignment="1">
      <alignment horizontal="center" vertical="center"/>
    </xf>
    <xf numFmtId="175" fontId="44" fillId="0" borderId="9" xfId="0" applyNumberFormat="1" applyFont="1" applyBorder="1" applyAlignment="1">
      <alignment horizontal="center" vertical="center"/>
    </xf>
    <xf numFmtId="175" fontId="44" fillId="0" borderId="25" xfId="0" applyNumberFormat="1" applyFont="1" applyBorder="1" applyAlignment="1">
      <alignment horizontal="center" vertical="center"/>
    </xf>
    <xf numFmtId="175" fontId="18" fillId="0" borderId="25" xfId="0" applyNumberFormat="1" applyFont="1" applyBorder="1" applyAlignment="1">
      <alignment horizontal="center" vertical="center"/>
    </xf>
    <xf numFmtId="175" fontId="19" fillId="0" borderId="26" xfId="0" applyNumberFormat="1" applyFont="1" applyBorder="1" applyAlignment="1">
      <alignment horizontal="center" vertical="center"/>
    </xf>
    <xf numFmtId="49" fontId="23" fillId="6" borderId="6" xfId="0" applyNumberFormat="1" applyFont="1" applyFill="1" applyBorder="1" applyAlignment="1">
      <alignment horizontal="center" vertical="center" wrapText="1"/>
    </xf>
    <xf numFmtId="49" fontId="56" fillId="0" borderId="7" xfId="0" applyNumberFormat="1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175" fontId="26" fillId="5" borderId="35" xfId="0" applyNumberFormat="1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vertical="top" wrapText="1"/>
    </xf>
    <xf numFmtId="173" fontId="72" fillId="0" borderId="2" xfId="0" applyNumberFormat="1" applyFont="1" applyBorder="1" applyAlignment="1">
      <alignment horizontal="center" vertical="center" wrapText="1"/>
    </xf>
    <xf numFmtId="173" fontId="69" fillId="6" borderId="47" xfId="0" applyNumberFormat="1" applyFont="1" applyFill="1" applyBorder="1" applyAlignment="1">
      <alignment horizontal="center" vertical="center" wrapText="1"/>
    </xf>
    <xf numFmtId="173" fontId="60" fillId="0" borderId="16" xfId="0" applyNumberFormat="1" applyFont="1" applyBorder="1" applyAlignment="1">
      <alignment horizontal="center" vertical="center" wrapText="1"/>
    </xf>
    <xf numFmtId="173" fontId="72" fillId="0" borderId="16" xfId="0" applyNumberFormat="1" applyFont="1" applyBorder="1" applyAlignment="1">
      <alignment horizontal="center" vertical="center" wrapText="1"/>
    </xf>
    <xf numFmtId="173" fontId="90" fillId="0" borderId="16" xfId="0" applyNumberFormat="1" applyFont="1" applyBorder="1" applyAlignment="1">
      <alignment horizontal="center" vertical="center" wrapText="1"/>
    </xf>
    <xf numFmtId="173" fontId="53" fillId="5" borderId="16" xfId="0" applyNumberFormat="1" applyFont="1" applyFill="1" applyBorder="1" applyAlignment="1">
      <alignment horizontal="center" vertical="center" wrapText="1"/>
    </xf>
    <xf numFmtId="173" fontId="26" fillId="5" borderId="16" xfId="0" applyNumberFormat="1" applyFont="1" applyFill="1" applyBorder="1" applyAlignment="1">
      <alignment horizontal="center" vertical="center" wrapText="1"/>
    </xf>
    <xf numFmtId="173" fontId="32" fillId="6" borderId="16" xfId="0" applyNumberFormat="1" applyFont="1" applyFill="1" applyBorder="1" applyAlignment="1">
      <alignment horizontal="center" vertical="center" wrapText="1"/>
    </xf>
    <xf numFmtId="173" fontId="35" fillId="5" borderId="16" xfId="0" applyNumberFormat="1" applyFont="1" applyFill="1" applyBorder="1" applyAlignment="1">
      <alignment horizontal="center" vertical="center" wrapText="1"/>
    </xf>
    <xf numFmtId="173" fontId="60" fillId="0" borderId="16" xfId="0" applyNumberFormat="1" applyFont="1" applyFill="1" applyBorder="1" applyAlignment="1">
      <alignment horizontal="center" vertical="center" wrapText="1"/>
    </xf>
    <xf numFmtId="173" fontId="29" fillId="0" borderId="16" xfId="0" applyNumberFormat="1" applyFont="1" applyFill="1" applyBorder="1" applyAlignment="1">
      <alignment horizontal="center" vertical="center" wrapText="1"/>
    </xf>
    <xf numFmtId="173" fontId="57" fillId="0" borderId="16" xfId="0" applyNumberFormat="1" applyFont="1" applyFill="1" applyBorder="1" applyAlignment="1">
      <alignment horizontal="center" vertical="center" wrapText="1"/>
    </xf>
    <xf numFmtId="173" fontId="73" fillId="0" borderId="16" xfId="0" applyNumberFormat="1" applyFont="1" applyFill="1" applyBorder="1" applyAlignment="1">
      <alignment horizontal="center" vertical="center" wrapText="1"/>
    </xf>
    <xf numFmtId="173" fontId="29" fillId="0" borderId="16" xfId="0" applyNumberFormat="1" applyFont="1" applyBorder="1" applyAlignment="1">
      <alignment horizontal="center" vertical="center" wrapText="1"/>
    </xf>
    <xf numFmtId="173" fontId="73" fillId="0" borderId="16" xfId="0" applyNumberFormat="1" applyFont="1" applyBorder="1" applyAlignment="1">
      <alignment horizontal="center" vertical="center" wrapText="1"/>
    </xf>
    <xf numFmtId="173" fontId="57" fillId="0" borderId="16" xfId="0" applyNumberFormat="1" applyFont="1" applyBorder="1" applyAlignment="1">
      <alignment horizontal="center" vertical="center" wrapText="1"/>
    </xf>
    <xf numFmtId="173" fontId="35" fillId="0" borderId="16" xfId="0" applyNumberFormat="1" applyFont="1" applyFill="1" applyBorder="1" applyAlignment="1">
      <alignment horizontal="center" vertical="center" wrapText="1"/>
    </xf>
    <xf numFmtId="173" fontId="64" fillId="0" borderId="16" xfId="0" applyNumberFormat="1" applyFont="1" applyFill="1" applyBorder="1" applyAlignment="1">
      <alignment horizontal="center" vertical="center" wrapText="1"/>
    </xf>
    <xf numFmtId="173" fontId="82" fillId="0" borderId="16" xfId="0" applyNumberFormat="1" applyFont="1" applyFill="1" applyBorder="1" applyAlignment="1">
      <alignment horizontal="center" vertical="center" wrapText="1"/>
    </xf>
    <xf numFmtId="173" fontId="19" fillId="0" borderId="5" xfId="0" applyNumberFormat="1" applyFont="1" applyBorder="1" applyAlignment="1">
      <alignment horizontal="center" vertical="center"/>
    </xf>
    <xf numFmtId="173" fontId="72" fillId="0" borderId="5" xfId="0" applyNumberFormat="1" applyFont="1" applyBorder="1" applyAlignment="1">
      <alignment horizontal="center" vertical="center" wrapText="1"/>
    </xf>
    <xf numFmtId="173" fontId="72" fillId="0" borderId="19" xfId="0" applyNumberFormat="1" applyFont="1" applyBorder="1" applyAlignment="1">
      <alignment horizontal="center" vertical="center" wrapText="1"/>
    </xf>
    <xf numFmtId="173" fontId="55" fillId="0" borderId="5" xfId="0" applyNumberFormat="1" applyFont="1" applyBorder="1" applyAlignment="1">
      <alignment horizontal="center" vertical="center"/>
    </xf>
    <xf numFmtId="173" fontId="76" fillId="0" borderId="5" xfId="0" applyNumberFormat="1" applyFont="1" applyBorder="1" applyAlignment="1">
      <alignment horizontal="center" vertical="center"/>
    </xf>
    <xf numFmtId="173" fontId="53" fillId="5" borderId="5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Border="1" applyAlignment="1">
      <alignment horizontal="center" vertical="center"/>
    </xf>
    <xf numFmtId="173" fontId="26" fillId="5" borderId="5" xfId="0" applyNumberFormat="1" applyFont="1" applyFill="1" applyBorder="1" applyAlignment="1">
      <alignment horizontal="center" vertical="center" wrapText="1"/>
    </xf>
    <xf numFmtId="173" fontId="44" fillId="0" borderId="5" xfId="0" applyNumberFormat="1" applyFont="1" applyBorder="1" applyAlignment="1">
      <alignment horizontal="center" vertical="center"/>
    </xf>
    <xf numFmtId="173" fontId="44" fillId="6" borderId="5" xfId="0" applyNumberFormat="1" applyFont="1" applyFill="1" applyBorder="1" applyAlignment="1">
      <alignment horizontal="center" vertical="center"/>
    </xf>
    <xf numFmtId="173" fontId="35" fillId="5" borderId="5" xfId="0" applyNumberFormat="1" applyFont="1" applyFill="1" applyBorder="1" applyAlignment="1">
      <alignment horizontal="center" vertical="center" wrapText="1"/>
    </xf>
    <xf numFmtId="173" fontId="60" fillId="0" borderId="5" xfId="0" applyNumberFormat="1" applyFont="1" applyFill="1" applyBorder="1" applyAlignment="1">
      <alignment horizontal="center" vertical="center" wrapText="1"/>
    </xf>
    <xf numFmtId="173" fontId="29" fillId="0" borderId="5" xfId="0" applyNumberFormat="1" applyFont="1" applyFill="1" applyBorder="1" applyAlignment="1">
      <alignment horizontal="center" vertical="center" wrapText="1"/>
    </xf>
    <xf numFmtId="173" fontId="55" fillId="0" borderId="5" xfId="0" applyNumberFormat="1" applyFont="1" applyFill="1" applyBorder="1" applyAlignment="1">
      <alignment horizontal="center" vertical="center"/>
    </xf>
    <xf numFmtId="173" fontId="57" fillId="0" borderId="5" xfId="0" applyNumberFormat="1" applyFont="1" applyFill="1" applyBorder="1" applyAlignment="1">
      <alignment horizontal="center" vertical="center" wrapText="1"/>
    </xf>
    <xf numFmtId="173" fontId="44" fillId="0" borderId="5" xfId="0" applyNumberFormat="1" applyFont="1" applyFill="1" applyBorder="1" applyAlignment="1">
      <alignment horizontal="center" vertical="center"/>
    </xf>
    <xf numFmtId="173" fontId="60" fillId="0" borderId="5" xfId="0" applyNumberFormat="1" applyFont="1" applyBorder="1" applyAlignment="1">
      <alignment horizontal="center" vertical="center" wrapText="1"/>
    </xf>
    <xf numFmtId="173" fontId="29" fillId="0" borderId="5" xfId="0" applyNumberFormat="1" applyFont="1" applyBorder="1" applyAlignment="1">
      <alignment horizontal="center" vertical="center" wrapText="1"/>
    </xf>
    <xf numFmtId="173" fontId="35" fillId="0" borderId="5" xfId="0" applyNumberFormat="1" applyFont="1" applyFill="1" applyBorder="1" applyAlignment="1">
      <alignment horizontal="center" vertical="center" wrapText="1"/>
    </xf>
    <xf numFmtId="173" fontId="64" fillId="0" borderId="5" xfId="0" applyNumberFormat="1" applyFont="1" applyFill="1" applyBorder="1" applyAlignment="1">
      <alignment horizontal="center" vertical="center" wrapText="1"/>
    </xf>
    <xf numFmtId="173" fontId="81" fillId="0" borderId="5" xfId="0" applyNumberFormat="1" applyFont="1" applyFill="1" applyBorder="1" applyAlignment="1">
      <alignment horizontal="center" vertical="center" wrapText="1"/>
    </xf>
    <xf numFmtId="173" fontId="55" fillId="0" borderId="9" xfId="0" applyNumberFormat="1" applyFont="1" applyBorder="1" applyAlignment="1">
      <alignment horizontal="center" vertical="center"/>
    </xf>
    <xf numFmtId="173" fontId="55" fillId="0" borderId="68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top" wrapText="1"/>
    </xf>
    <xf numFmtId="173" fontId="91" fillId="0" borderId="16" xfId="0" applyNumberFormat="1" applyFont="1" applyBorder="1" applyAlignment="1">
      <alignment horizontal="center" vertical="center" wrapText="1"/>
    </xf>
    <xf numFmtId="173" fontId="79" fillId="0" borderId="5" xfId="0" applyNumberFormat="1" applyFont="1" applyBorder="1" applyAlignment="1">
      <alignment horizontal="center" vertical="center"/>
    </xf>
    <xf numFmtId="173" fontId="79" fillId="0" borderId="9" xfId="0" applyNumberFormat="1" applyFont="1" applyBorder="1" applyAlignment="1">
      <alignment horizontal="center" vertical="center"/>
    </xf>
    <xf numFmtId="173" fontId="79" fillId="0" borderId="68" xfId="0" applyNumberFormat="1" applyFont="1" applyBorder="1" applyAlignment="1">
      <alignment horizontal="center" vertical="center"/>
    </xf>
    <xf numFmtId="0" fontId="89" fillId="0" borderId="11" xfId="0" applyFont="1" applyBorder="1" applyAlignment="1">
      <alignment horizontal="left" vertical="top" wrapText="1"/>
    </xf>
    <xf numFmtId="0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2" fillId="9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15" borderId="21" xfId="0" applyFont="1" applyFill="1" applyBorder="1" applyAlignment="1">
      <alignment horizontal="left" vertical="center" wrapText="1"/>
    </xf>
    <xf numFmtId="49" fontId="7" fillId="15" borderId="19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left" vertical="center" wrapText="1"/>
    </xf>
    <xf numFmtId="49" fontId="63" fillId="15" borderId="9" xfId="0" applyNumberFormat="1" applyFont="1" applyFill="1" applyBorder="1" applyAlignment="1">
      <alignment horizontal="center" vertical="center" wrapText="1"/>
    </xf>
    <xf numFmtId="175" fontId="8" fillId="15" borderId="5" xfId="0" applyNumberFormat="1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5" fontId="7" fillId="12" borderId="55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38" fillId="8" borderId="59" xfId="0" applyNumberFormat="1" applyFont="1" applyFill="1" applyBorder="1" applyAlignment="1">
      <alignment horizontal="center" vertical="center" wrapText="1"/>
    </xf>
    <xf numFmtId="49" fontId="17" fillId="2" borderId="59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7" fillId="12" borderId="8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17" fillId="0" borderId="57" xfId="0" applyNumberFormat="1" applyFont="1" applyFill="1" applyBorder="1" applyAlignment="1">
      <alignment horizontal="center" vertical="center" wrapText="1"/>
    </xf>
    <xf numFmtId="49" fontId="7" fillId="16" borderId="8" xfId="0" applyNumberFormat="1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49" fontId="40" fillId="0" borderId="59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14" fillId="2" borderId="59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67" fillId="12" borderId="8" xfId="0" applyNumberFormat="1" applyFont="1" applyFill="1" applyBorder="1" applyAlignment="1">
      <alignment horizontal="center" vertical="center" wrapText="1"/>
    </xf>
    <xf numFmtId="49" fontId="9" fillId="15" borderId="23" xfId="0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78" xfId="0" applyBorder="1"/>
    <xf numFmtId="173" fontId="64" fillId="0" borderId="0" xfId="0" applyNumberFormat="1" applyFont="1" applyFill="1" applyBorder="1" applyAlignment="1">
      <alignment horizontal="center" vertical="center" wrapText="1"/>
    </xf>
    <xf numFmtId="175" fontId="35" fillId="3" borderId="13" xfId="0" applyNumberFormat="1" applyFont="1" applyFill="1" applyBorder="1" applyAlignment="1">
      <alignment horizontal="center" vertical="top" wrapText="1"/>
    </xf>
    <xf numFmtId="173" fontId="13" fillId="0" borderId="0" xfId="0" applyNumberFormat="1" applyFont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175" fontId="7" fillId="16" borderId="55" xfId="0" applyNumberFormat="1" applyFont="1" applyFill="1" applyBorder="1" applyAlignment="1">
      <alignment horizontal="center" vertical="center"/>
    </xf>
    <xf numFmtId="49" fontId="41" fillId="15" borderId="59" xfId="0" applyNumberFormat="1" applyFont="1" applyFill="1" applyBorder="1" applyAlignment="1">
      <alignment horizontal="center" vertical="center" wrapText="1"/>
    </xf>
    <xf numFmtId="49" fontId="79" fillId="0" borderId="59" xfId="0" applyNumberFormat="1" applyFont="1" applyFill="1" applyBorder="1" applyAlignment="1">
      <alignment horizontal="center" vertical="center"/>
    </xf>
    <xf numFmtId="175" fontId="8" fillId="15" borderId="27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58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13" fillId="0" borderId="69" xfId="0" applyNumberFormat="1" applyFont="1" applyBorder="1" applyAlignment="1" applyProtection="1">
      <alignment horizontal="center" vertical="center" wrapText="1"/>
      <protection locked="0"/>
    </xf>
    <xf numFmtId="0" fontId="2" fillId="9" borderId="67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1" xfId="0" applyFont="1" applyBorder="1" applyAlignment="1">
      <alignment horizontal="center" vertical="center" wrapText="1"/>
    </xf>
    <xf numFmtId="0" fontId="79" fillId="0" borderId="5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173" fontId="79" fillId="0" borderId="1" xfId="0" applyNumberFormat="1" applyFont="1" applyBorder="1" applyAlignment="1">
      <alignment horizontal="center" vertical="center" wrapText="1"/>
    </xf>
    <xf numFmtId="173" fontId="79" fillId="0" borderId="16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9" fillId="0" borderId="2" xfId="0" applyNumberFormat="1" applyFont="1" applyBorder="1" applyAlignment="1" applyProtection="1">
      <alignment horizontal="center" vertical="center" wrapText="1"/>
      <protection locked="0"/>
    </xf>
    <xf numFmtId="0" fontId="79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>
      <alignment horizontal="center" vertical="center" wrapText="1"/>
    </xf>
    <xf numFmtId="0" fontId="77" fillId="0" borderId="5" xfId="0" applyFont="1" applyBorder="1" applyAlignment="1">
      <alignment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77" fillId="0" borderId="59" xfId="0" applyFont="1" applyBorder="1" applyAlignment="1">
      <alignment vertical="center" wrapText="1"/>
    </xf>
    <xf numFmtId="49" fontId="2" fillId="9" borderId="1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173" fontId="26" fillId="3" borderId="16" xfId="0" applyNumberFormat="1" applyFont="1" applyFill="1" applyBorder="1" applyAlignment="1">
      <alignment horizontal="center" vertical="center" wrapText="1"/>
    </xf>
    <xf numFmtId="173" fontId="5" fillId="3" borderId="5" xfId="0" applyNumberFormat="1" applyFont="1" applyFill="1" applyBorder="1" applyAlignment="1">
      <alignment horizontal="center" vertical="center"/>
    </xf>
    <xf numFmtId="173" fontId="5" fillId="3" borderId="2" xfId="0" applyNumberFormat="1" applyFont="1" applyFill="1" applyBorder="1" applyAlignment="1">
      <alignment horizontal="center" vertical="center"/>
    </xf>
    <xf numFmtId="173" fontId="5" fillId="3" borderId="19" xfId="0" applyNumberFormat="1" applyFont="1" applyFill="1" applyBorder="1" applyAlignment="1">
      <alignment horizontal="center" vertical="center"/>
    </xf>
    <xf numFmtId="49" fontId="106" fillId="0" borderId="5" xfId="0" applyNumberFormat="1" applyFont="1" applyBorder="1" applyAlignment="1">
      <alignment horizontal="center" vertical="center" wrapText="1"/>
    </xf>
    <xf numFmtId="0" fontId="2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7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77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58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NumberFormat="1" applyFont="1" applyFill="1" applyBorder="1" applyAlignment="1" applyProtection="1">
      <alignment wrapText="1" readingOrder="1"/>
      <protection locked="0"/>
    </xf>
    <xf numFmtId="0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NumberFormat="1" applyFont="1" applyAlignment="1" applyProtection="1">
      <alignment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9" xfId="0" applyNumberFormat="1" applyFont="1" applyFill="1" applyBorder="1" applyAlignment="1" applyProtection="1">
      <alignment horizontal="left" wrapText="1" readingOrder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11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68" fillId="0" borderId="14" xfId="0" applyNumberFormat="1" applyFont="1" applyFill="1" applyBorder="1" applyAlignment="1" applyProtection="1">
      <alignment horizontal="center" vertical="center"/>
      <protection locked="0"/>
    </xf>
    <xf numFmtId="175" fontId="11" fillId="0" borderId="58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72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49" fontId="2" fillId="14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9" xfId="0" applyNumberFormat="1" applyFont="1" applyFill="1" applyBorder="1" applyAlignment="1" applyProtection="1">
      <alignment horizontal="center" vertical="center"/>
      <protection locked="0"/>
    </xf>
    <xf numFmtId="49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19" fillId="4" borderId="1" xfId="0" applyNumberFormat="1" applyFont="1" applyFill="1" applyBorder="1" applyAlignment="1" applyProtection="1">
      <alignment horizontal="center" vertical="center"/>
      <protection locked="0"/>
    </xf>
    <xf numFmtId="175" fontId="2" fillId="14" borderId="1" xfId="0" applyNumberFormat="1" applyFont="1" applyFill="1" applyBorder="1" applyAlignment="1" applyProtection="1">
      <alignment horizontal="center" vertical="center"/>
      <protection locked="0"/>
    </xf>
    <xf numFmtId="175" fontId="2" fillId="0" borderId="1" xfId="0" applyNumberFormat="1" applyFont="1" applyFill="1" applyBorder="1" applyAlignment="1" applyProtection="1">
      <alignment horizontal="center" vertical="center"/>
      <protection locked="0"/>
    </xf>
    <xf numFmtId="175" fontId="9" fillId="0" borderId="1" xfId="0" applyNumberFormat="1" applyFont="1" applyFill="1" applyBorder="1" applyAlignment="1" applyProtection="1">
      <alignment horizontal="center" vertical="center"/>
      <protection locked="0"/>
    </xf>
    <xf numFmtId="175" fontId="10" fillId="0" borderId="1" xfId="0" applyNumberFormat="1" applyFont="1" applyFill="1" applyBorder="1" applyAlignment="1" applyProtection="1">
      <alignment horizontal="center" vertical="center"/>
      <protection locked="0"/>
    </xf>
    <xf numFmtId="175" fontId="19" fillId="0" borderId="1" xfId="0" applyNumberFormat="1" applyFont="1" applyFill="1" applyBorder="1" applyAlignment="1" applyProtection="1">
      <alignment horizontal="center" vertical="center"/>
      <protection locked="0"/>
    </xf>
    <xf numFmtId="175" fontId="18" fillId="0" borderId="1" xfId="0" applyNumberFormat="1" applyFont="1" applyFill="1" applyBorder="1" applyAlignment="1" applyProtection="1">
      <alignment horizontal="center" vertical="center"/>
      <protection locked="0"/>
    </xf>
    <xf numFmtId="175" fontId="11" fillId="0" borderId="1" xfId="0" applyNumberFormat="1" applyFont="1" applyFill="1" applyBorder="1" applyAlignment="1" applyProtection="1">
      <alignment horizontal="center" vertical="center"/>
      <protection locked="0"/>
    </xf>
    <xf numFmtId="175" fontId="2" fillId="14" borderId="48" xfId="0" applyNumberFormat="1" applyFont="1" applyFill="1" applyBorder="1" applyAlignment="1" applyProtection="1">
      <alignment horizontal="center" vertical="center"/>
      <protection locked="0"/>
    </xf>
    <xf numFmtId="175" fontId="3" fillId="0" borderId="1" xfId="0" applyNumberFormat="1" applyFont="1" applyFill="1" applyBorder="1" applyAlignment="1" applyProtection="1">
      <alignment horizontal="center" vertical="center"/>
      <protection locked="0"/>
    </xf>
    <xf numFmtId="175" fontId="77" fillId="0" borderId="1" xfId="0" applyNumberFormat="1" applyFont="1" applyFill="1" applyBorder="1" applyAlignment="1" applyProtection="1">
      <alignment horizontal="center" vertical="center"/>
      <protection locked="0"/>
    </xf>
    <xf numFmtId="175" fontId="3" fillId="0" borderId="48" xfId="0" applyNumberFormat="1" applyFont="1" applyFill="1" applyBorder="1" applyAlignment="1" applyProtection="1">
      <alignment horizontal="center" vertical="center"/>
      <protection locked="0"/>
    </xf>
    <xf numFmtId="175" fontId="9" fillId="0" borderId="58" xfId="0" applyNumberFormat="1" applyFont="1" applyFill="1" applyBorder="1" applyAlignment="1" applyProtection="1">
      <alignment horizontal="center" vertical="center"/>
      <protection locked="0"/>
    </xf>
    <xf numFmtId="175" fontId="2" fillId="18" borderId="13" xfId="0" applyNumberFormat="1" applyFont="1" applyFill="1" applyBorder="1" applyAlignment="1" applyProtection="1">
      <alignment horizontal="center" vertical="center"/>
      <protection locked="0"/>
    </xf>
    <xf numFmtId="175" fontId="2" fillId="4" borderId="1" xfId="0" applyNumberFormat="1" applyFont="1" applyFill="1" applyBorder="1" applyAlignment="1" applyProtection="1">
      <alignment horizontal="center" vertical="center"/>
      <protection locked="0"/>
    </xf>
    <xf numFmtId="175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57" xfId="0" applyNumberFormat="1" applyFont="1" applyFill="1" applyBorder="1" applyAlignment="1">
      <alignment wrapText="1" readingOrder="1"/>
    </xf>
    <xf numFmtId="0" fontId="3" fillId="0" borderId="59" xfId="0" applyNumberFormat="1" applyFont="1" applyFill="1" applyBorder="1" applyAlignment="1" applyProtection="1">
      <alignment wrapText="1" readingOrder="1"/>
      <protection locked="0"/>
    </xf>
    <xf numFmtId="0" fontId="12" fillId="0" borderId="59" xfId="0" applyNumberFormat="1" applyFont="1" applyFill="1" applyBorder="1" applyAlignment="1" applyProtection="1">
      <alignment wrapText="1" readingOrder="1"/>
      <protection locked="0"/>
    </xf>
    <xf numFmtId="0" fontId="13" fillId="0" borderId="59" xfId="0" applyNumberFormat="1" applyFont="1" applyFill="1" applyBorder="1" applyAlignment="1" applyProtection="1">
      <alignment wrapText="1" readingOrder="1"/>
      <protection locked="0"/>
    </xf>
    <xf numFmtId="0" fontId="2" fillId="0" borderId="59" xfId="0" applyNumberFormat="1" applyFont="1" applyFill="1" applyBorder="1" applyAlignment="1" applyProtection="1">
      <alignment wrapText="1" readingOrder="1"/>
      <protection locked="0"/>
    </xf>
    <xf numFmtId="0" fontId="3" fillId="0" borderId="59" xfId="0" applyNumberFormat="1" applyFont="1" applyBorder="1" applyAlignment="1" applyProtection="1">
      <alignment vertical="center" wrapText="1"/>
      <protection locked="0"/>
    </xf>
    <xf numFmtId="0" fontId="77" fillId="0" borderId="59" xfId="0" applyNumberFormat="1" applyFont="1" applyBorder="1" applyAlignment="1" applyProtection="1">
      <alignment vertical="center" wrapText="1"/>
      <protection locked="0"/>
    </xf>
    <xf numFmtId="0" fontId="77" fillId="0" borderId="16" xfId="0" applyNumberFormat="1" applyFont="1" applyBorder="1" applyAlignment="1" applyProtection="1">
      <alignment vertical="center" wrapText="1"/>
      <protection locked="0"/>
    </xf>
    <xf numFmtId="0" fontId="19" fillId="0" borderId="59" xfId="0" applyNumberFormat="1" applyFont="1" applyBorder="1" applyAlignment="1" applyProtection="1">
      <alignment vertical="center" wrapText="1"/>
      <protection locked="0"/>
    </xf>
    <xf numFmtId="0" fontId="11" fillId="0" borderId="16" xfId="0" applyNumberFormat="1" applyFont="1" applyBorder="1" applyAlignment="1" applyProtection="1">
      <alignment vertical="center" wrapText="1"/>
      <protection locked="0"/>
    </xf>
    <xf numFmtId="0" fontId="19" fillId="0" borderId="59" xfId="0" applyNumberFormat="1" applyFont="1" applyFill="1" applyBorder="1" applyAlignment="1" applyProtection="1">
      <alignment wrapText="1" readingOrder="1"/>
      <protection locked="0"/>
    </xf>
    <xf numFmtId="0" fontId="15" fillId="0" borderId="59" xfId="0" applyNumberFormat="1" applyFont="1" applyFill="1" applyBorder="1" applyAlignment="1" applyProtection="1">
      <alignment wrapText="1" readingOrder="1"/>
      <protection locked="0"/>
    </xf>
    <xf numFmtId="0" fontId="11" fillId="0" borderId="59" xfId="0" applyNumberFormat="1" applyFont="1" applyBorder="1" applyAlignment="1" applyProtection="1">
      <alignment vertical="center" wrapText="1"/>
      <protection locked="0"/>
    </xf>
    <xf numFmtId="0" fontId="3" fillId="0" borderId="16" xfId="0" applyNumberFormat="1" applyFont="1" applyBorder="1" applyAlignment="1" applyProtection="1">
      <alignment vertical="center" wrapText="1"/>
      <protection locked="0"/>
    </xf>
    <xf numFmtId="0" fontId="2" fillId="18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14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4" borderId="59" xfId="0" applyNumberFormat="1" applyFont="1" applyFill="1" applyBorder="1" applyAlignment="1" applyProtection="1">
      <alignment horizontal="left" wrapText="1" readingOrder="1"/>
      <protection locked="0"/>
    </xf>
    <xf numFmtId="0" fontId="11" fillId="0" borderId="57" xfId="0" applyNumberFormat="1" applyFont="1" applyBorder="1" applyAlignment="1" applyProtection="1">
      <alignment vertical="center" wrapText="1"/>
      <protection locked="0"/>
    </xf>
    <xf numFmtId="0" fontId="9" fillId="0" borderId="57" xfId="0" applyNumberFormat="1" applyFont="1" applyFill="1" applyBorder="1" applyAlignment="1" applyProtection="1">
      <alignment wrapText="1" readingOrder="1"/>
      <protection locked="0"/>
    </xf>
    <xf numFmtId="0" fontId="5" fillId="0" borderId="4" xfId="0" applyNumberFormat="1" applyFont="1" applyFill="1" applyBorder="1" applyAlignment="1" applyProtection="1">
      <alignment horizontal="left" wrapText="1" readingOrder="1"/>
      <protection locked="0"/>
    </xf>
    <xf numFmtId="49" fontId="4" fillId="0" borderId="8" xfId="0" applyNumberFormat="1" applyFont="1" applyBorder="1" applyAlignment="1">
      <alignment horizontal="center" vertical="center" wrapText="1"/>
    </xf>
    <xf numFmtId="49" fontId="17" fillId="2" borderId="57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5" xfId="0" applyNumberFormat="1" applyFont="1" applyBorder="1" applyAlignment="1" applyProtection="1">
      <alignment horizontal="center" vertical="center" wrapText="1"/>
      <protection locked="0"/>
    </xf>
    <xf numFmtId="0" fontId="77" fillId="0" borderId="2" xfId="0" applyNumberFormat="1" applyFont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77" fillId="14" borderId="72" xfId="0" applyNumberFormat="1" applyFont="1" applyFill="1" applyBorder="1" applyAlignment="1" applyProtection="1">
      <alignment horizontal="center" vertical="center"/>
      <protection locked="0"/>
    </xf>
    <xf numFmtId="0" fontId="77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77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vertical="center" wrapText="1"/>
      <protection locked="0"/>
    </xf>
    <xf numFmtId="49" fontId="11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2" xfId="0" applyNumberFormat="1" applyFont="1" applyFill="1" applyBorder="1" applyAlignment="1" applyProtection="1">
      <alignment horizontal="center" vertical="center"/>
      <protection locked="0"/>
    </xf>
    <xf numFmtId="0" fontId="77" fillId="0" borderId="7" xfId="0" applyNumberFormat="1" applyFont="1" applyBorder="1" applyAlignment="1" applyProtection="1">
      <alignment horizontal="center" vertical="center" wrapText="1"/>
      <protection locked="0"/>
    </xf>
    <xf numFmtId="0" fontId="77" fillId="0" borderId="3" xfId="0" applyNumberFormat="1" applyFont="1" applyBorder="1" applyAlignment="1" applyProtection="1">
      <alignment horizontal="center" vertical="center" wrapText="1"/>
      <protection locked="0"/>
    </xf>
    <xf numFmtId="0" fontId="9" fillId="1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18" borderId="13" xfId="0" applyNumberFormat="1" applyFont="1" applyFill="1" applyBorder="1" applyAlignment="1" applyProtection="1">
      <alignment horizontal="center" vertical="center"/>
      <protection locked="0"/>
    </xf>
    <xf numFmtId="0" fontId="9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48" xfId="0" applyNumberFormat="1" applyFont="1" applyFill="1" applyBorder="1" applyAlignment="1" applyProtection="1">
      <alignment horizontal="center" vertical="center"/>
      <protection locked="0"/>
    </xf>
    <xf numFmtId="49" fontId="3" fillId="14" borderId="1" xfId="0" applyNumberFormat="1" applyFont="1" applyFill="1" applyBorder="1" applyAlignment="1" applyProtection="1">
      <alignment horizontal="center" vertical="center"/>
      <protection locked="0"/>
    </xf>
    <xf numFmtId="0" fontId="3" fillId="18" borderId="14" xfId="0" applyNumberFormat="1" applyFont="1" applyFill="1" applyBorder="1" applyAlignment="1" applyProtection="1">
      <alignment horizontal="center" vertical="center"/>
      <protection locked="0"/>
    </xf>
    <xf numFmtId="0" fontId="3" fillId="14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12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24" xfId="0" applyNumberFormat="1" applyFont="1" applyFill="1" applyBorder="1" applyAlignment="1" applyProtection="1">
      <alignment horizontal="center" vertical="center" wrapText="1"/>
      <protection locked="0"/>
    </xf>
    <xf numFmtId="49" fontId="77" fillId="18" borderId="13" xfId="0" applyNumberFormat="1" applyFont="1" applyFill="1" applyBorder="1" applyAlignment="1" applyProtection="1">
      <alignment horizontal="center" vertical="center"/>
      <protection locked="0"/>
    </xf>
    <xf numFmtId="0" fontId="77" fillId="18" borderId="6" xfId="0" applyNumberFormat="1" applyFont="1" applyFill="1" applyBorder="1" applyAlignment="1" applyProtection="1">
      <alignment horizontal="center" vertical="center" wrapText="1"/>
      <protection locked="0"/>
    </xf>
    <xf numFmtId="0" fontId="77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14" borderId="33" xfId="0" applyNumberFormat="1" applyFont="1" applyFill="1" applyBorder="1" applyAlignment="1" applyProtection="1">
      <alignment horizontal="center" vertical="center" wrapText="1"/>
      <protection locked="0"/>
    </xf>
    <xf numFmtId="0" fontId="77" fillId="14" borderId="4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5" fillId="0" borderId="58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77" fillId="18" borderId="55" xfId="0" applyNumberFormat="1" applyFont="1" applyFill="1" applyBorder="1" applyAlignment="1" applyProtection="1">
      <alignment horizontal="center" vertical="center"/>
      <protection locked="0"/>
    </xf>
    <xf numFmtId="49" fontId="77" fillId="14" borderId="47" xfId="0" applyNumberFormat="1" applyFont="1" applyFill="1" applyBorder="1" applyAlignment="1" applyProtection="1">
      <alignment horizontal="center" vertical="center"/>
      <protection locked="0"/>
    </xf>
    <xf numFmtId="0" fontId="77" fillId="14" borderId="7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7" fillId="18" borderId="49" xfId="0" applyNumberFormat="1" applyFont="1" applyFill="1" applyBorder="1" applyAlignment="1" applyProtection="1">
      <alignment horizontal="center" vertical="center" wrapText="1"/>
      <protection locked="0"/>
    </xf>
    <xf numFmtId="0" fontId="77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72" xfId="0" applyNumberFormat="1" applyFont="1" applyBorder="1" applyAlignment="1" applyProtection="1">
      <alignment horizontal="center" vertical="center"/>
      <protection locked="0"/>
    </xf>
    <xf numFmtId="0" fontId="77" fillId="0" borderId="33" xfId="0" applyNumberFormat="1" applyFont="1" applyBorder="1" applyAlignment="1" applyProtection="1">
      <alignment horizontal="center" vertical="center"/>
      <protection locked="0"/>
    </xf>
    <xf numFmtId="0" fontId="77" fillId="0" borderId="41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/>
    <xf numFmtId="0" fontId="86" fillId="0" borderId="0" xfId="0" applyFont="1"/>
    <xf numFmtId="49" fontId="45" fillId="0" borderId="0" xfId="0" applyNumberFormat="1" applyFont="1" applyAlignment="1">
      <alignment horizontal="center"/>
    </xf>
    <xf numFmtId="0" fontId="33" fillId="0" borderId="4" xfId="0" applyFont="1" applyBorder="1" applyAlignment="1">
      <alignment horizontal="center" wrapText="1"/>
    </xf>
    <xf numFmtId="175" fontId="34" fillId="0" borderId="4" xfId="0" applyNumberFormat="1" applyFont="1" applyBorder="1" applyAlignment="1">
      <alignment horizontal="center"/>
    </xf>
    <xf numFmtId="2" fontId="87" fillId="0" borderId="15" xfId="0" applyNumberFormat="1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87" fillId="0" borderId="46" xfId="0" applyFont="1" applyBorder="1" applyAlignment="1">
      <alignment horizontal="center"/>
    </xf>
    <xf numFmtId="49" fontId="84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175" fontId="33" fillId="0" borderId="16" xfId="0" applyNumberFormat="1" applyFont="1" applyBorder="1" applyAlignment="1" applyProtection="1">
      <alignment horizontal="center"/>
      <protection locked="0"/>
    </xf>
    <xf numFmtId="175" fontId="87" fillId="0" borderId="16" xfId="0" applyNumberFormat="1" applyFont="1" applyBorder="1" applyAlignment="1" applyProtection="1">
      <alignment horizontal="center"/>
      <protection locked="0"/>
    </xf>
    <xf numFmtId="49" fontId="33" fillId="0" borderId="43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175" fontId="33" fillId="0" borderId="15" xfId="0" applyNumberFormat="1" applyFont="1" applyBorder="1" applyAlignment="1" applyProtection="1">
      <alignment horizontal="center"/>
      <protection locked="0"/>
    </xf>
    <xf numFmtId="175" fontId="84" fillId="0" borderId="4" xfId="0" applyNumberFormat="1" applyFont="1" applyBorder="1" applyAlignment="1" applyProtection="1">
      <alignment horizontal="center"/>
      <protection locked="0"/>
    </xf>
    <xf numFmtId="175" fontId="87" fillId="0" borderId="44" xfId="0" applyNumberFormat="1" applyFont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 wrapText="1" readingOrder="1"/>
      <protection locked="0"/>
    </xf>
    <xf numFmtId="0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175" fontId="3" fillId="0" borderId="72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/>
    </xf>
    <xf numFmtId="0" fontId="77" fillId="0" borderId="43" xfId="0" applyNumberFormat="1" applyFont="1" applyBorder="1" applyAlignment="1" applyProtection="1">
      <alignment horizontal="left"/>
      <protection locked="0"/>
    </xf>
    <xf numFmtId="0" fontId="3" fillId="18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4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6" xfId="0" applyNumberFormat="1" applyFont="1" applyFill="1" applyBorder="1" applyAlignment="1" applyProtection="1">
      <alignment wrapText="1" readingOrder="1"/>
      <protection locked="0"/>
    </xf>
    <xf numFmtId="0" fontId="9" fillId="0" borderId="16" xfId="0" applyNumberFormat="1" applyFont="1" applyFill="1" applyBorder="1" applyAlignment="1" applyProtection="1">
      <alignment wrapText="1" readingOrder="1"/>
      <protection locked="0"/>
    </xf>
    <xf numFmtId="0" fontId="3" fillId="14" borderId="16" xfId="0" applyNumberFormat="1" applyFont="1" applyFill="1" applyBorder="1" applyAlignment="1" applyProtection="1">
      <alignment wrapText="1" readingOrder="1"/>
      <protection locked="0"/>
    </xf>
    <xf numFmtId="0" fontId="77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4" borderId="15" xfId="0" applyNumberFormat="1" applyFont="1" applyFill="1" applyBorder="1" applyAlignment="1" applyProtection="1">
      <alignment wrapText="1" readingOrder="1"/>
      <protection locked="0"/>
    </xf>
    <xf numFmtId="0" fontId="3" fillId="14" borderId="16" xfId="0" applyNumberFormat="1" applyFont="1" applyFill="1" applyBorder="1" applyAlignment="1" applyProtection="1">
      <alignment vertical="center" wrapText="1"/>
      <protection locked="0"/>
    </xf>
    <xf numFmtId="0" fontId="92" fillId="0" borderId="40" xfId="0" applyNumberFormat="1" applyFont="1" applyBorder="1" applyAlignment="1" applyProtection="1">
      <alignment wrapText="1"/>
      <protection locked="0"/>
    </xf>
    <xf numFmtId="0" fontId="3" fillId="4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6" xfId="0" applyNumberFormat="1" applyFont="1" applyFill="1" applyBorder="1" applyAlignment="1" applyProtection="1">
      <alignment horizontal="left" wrapText="1" readingOrder="1"/>
      <protection locked="0"/>
    </xf>
    <xf numFmtId="0" fontId="3" fillId="4" borderId="16" xfId="0" applyNumberFormat="1" applyFont="1" applyFill="1" applyBorder="1" applyAlignment="1" applyProtection="1">
      <alignment horizontal="left" wrapText="1" readingOrder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4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18" borderId="4" xfId="0" applyNumberFormat="1" applyFont="1" applyFill="1" applyBorder="1" applyAlignment="1" applyProtection="1">
      <alignment wrapText="1" readingOrder="1"/>
      <protection locked="0"/>
    </xf>
    <xf numFmtId="0" fontId="9" fillId="0" borderId="44" xfId="0" applyNumberFormat="1" applyFont="1" applyFill="1" applyBorder="1" applyAlignment="1" applyProtection="1">
      <alignment wrapText="1" readingOrder="1"/>
      <protection locked="0"/>
    </xf>
    <xf numFmtId="0" fontId="3" fillId="0" borderId="4" xfId="0" applyNumberFormat="1" applyFont="1" applyBorder="1" applyAlignment="1" applyProtection="1">
      <alignment vertical="center" wrapText="1"/>
      <protection locked="0"/>
    </xf>
    <xf numFmtId="0" fontId="3" fillId="12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44" xfId="0" applyNumberFormat="1" applyFont="1" applyBorder="1" applyAlignment="1" applyProtection="1">
      <alignment vertical="center" wrapText="1"/>
      <protection locked="0"/>
    </xf>
    <xf numFmtId="0" fontId="77" fillId="18" borderId="4" xfId="0" applyNumberFormat="1" applyFont="1" applyFill="1" applyBorder="1" applyAlignment="1" applyProtection="1">
      <alignment vertical="center" wrapText="1"/>
      <protection locked="0"/>
    </xf>
    <xf numFmtId="0" fontId="77" fillId="14" borderId="4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NumberFormat="1" applyFont="1" applyBorder="1" applyAlignment="1" applyProtection="1">
      <alignment vertical="center" wrapText="1"/>
      <protection locked="0"/>
    </xf>
    <xf numFmtId="0" fontId="77" fillId="18" borderId="17" xfId="0" applyNumberFormat="1" applyFont="1" applyFill="1" applyBorder="1" applyAlignment="1" applyProtection="1">
      <alignment vertical="center" wrapText="1"/>
      <protection locked="0"/>
    </xf>
    <xf numFmtId="0" fontId="77" fillId="14" borderId="15" xfId="0" applyNumberFormat="1" applyFont="1" applyFill="1" applyBorder="1" applyAlignment="1" applyProtection="1">
      <alignment vertical="center" wrapText="1"/>
      <protection locked="0"/>
    </xf>
    <xf numFmtId="0" fontId="11" fillId="0" borderId="46" xfId="0" applyNumberFormat="1" applyFont="1" applyBorder="1" applyAlignment="1" applyProtection="1">
      <alignment vertical="center" wrapText="1"/>
      <protection locked="0"/>
    </xf>
    <xf numFmtId="0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173" fontId="84" fillId="0" borderId="13" xfId="0" applyNumberFormat="1" applyFont="1" applyBorder="1" applyAlignment="1" applyProtection="1">
      <alignment horizontal="center"/>
      <protection locked="0"/>
    </xf>
    <xf numFmtId="173" fontId="84" fillId="0" borderId="35" xfId="0" applyNumberFormat="1" applyFont="1" applyBorder="1" applyAlignment="1" applyProtection="1">
      <alignment horizontal="center"/>
      <protection locked="0"/>
    </xf>
    <xf numFmtId="173" fontId="33" fillId="0" borderId="48" xfId="0" applyNumberFormat="1" applyFont="1" applyBorder="1" applyAlignment="1">
      <alignment horizontal="center"/>
    </xf>
    <xf numFmtId="173" fontId="33" fillId="0" borderId="77" xfId="0" applyNumberFormat="1" applyFont="1" applyBorder="1" applyAlignment="1">
      <alignment horizontal="center"/>
    </xf>
    <xf numFmtId="173" fontId="33" fillId="0" borderId="1" xfId="0" applyNumberFormat="1" applyFont="1" applyBorder="1" applyAlignment="1">
      <alignment horizontal="center"/>
    </xf>
    <xf numFmtId="173" fontId="33" fillId="0" borderId="68" xfId="0" applyNumberFormat="1" applyFont="1" applyBorder="1" applyAlignment="1">
      <alignment horizontal="center"/>
    </xf>
    <xf numFmtId="173" fontId="33" fillId="0" borderId="1" xfId="0" applyNumberFormat="1" applyFont="1" applyBorder="1" applyAlignment="1" applyProtection="1">
      <alignment horizontal="center"/>
      <protection locked="0"/>
    </xf>
    <xf numFmtId="173" fontId="33" fillId="0" borderId="68" xfId="0" applyNumberFormat="1" applyFont="1" applyBorder="1" applyAlignment="1" applyProtection="1">
      <alignment horizontal="center"/>
      <protection locked="0"/>
    </xf>
    <xf numFmtId="173" fontId="87" fillId="0" borderId="1" xfId="0" applyNumberFormat="1" applyFont="1" applyBorder="1" applyAlignment="1">
      <alignment horizontal="center"/>
    </xf>
    <xf numFmtId="173" fontId="87" fillId="0" borderId="68" xfId="0" applyNumberFormat="1" applyFont="1" applyBorder="1" applyAlignment="1">
      <alignment horizontal="center"/>
    </xf>
    <xf numFmtId="173" fontId="86" fillId="0" borderId="58" xfId="0" applyNumberFormat="1" applyFont="1" applyBorder="1" applyAlignment="1">
      <alignment horizontal="center"/>
    </xf>
    <xf numFmtId="173" fontId="86" fillId="0" borderId="56" xfId="0" applyNumberFormat="1" applyFont="1" applyBorder="1" applyAlignment="1">
      <alignment horizontal="center"/>
    </xf>
    <xf numFmtId="173" fontId="33" fillId="0" borderId="27" xfId="0" applyNumberFormat="1" applyFont="1" applyBorder="1" applyAlignment="1">
      <alignment horizontal="center"/>
    </xf>
    <xf numFmtId="173" fontId="33" fillId="0" borderId="7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173" fontId="11" fillId="0" borderId="68" xfId="0" applyNumberFormat="1" applyFont="1" applyBorder="1" applyAlignment="1">
      <alignment horizontal="center"/>
    </xf>
    <xf numFmtId="173" fontId="77" fillId="0" borderId="72" xfId="0" applyNumberFormat="1" applyFont="1" applyBorder="1" applyAlignment="1" applyProtection="1">
      <alignment horizontal="center"/>
      <protection locked="0"/>
    </xf>
    <xf numFmtId="173" fontId="77" fillId="0" borderId="78" xfId="0" applyNumberFormat="1" applyFont="1" applyBorder="1" applyAlignment="1" applyProtection="1">
      <alignment horizontal="center"/>
      <protection locked="0"/>
    </xf>
    <xf numFmtId="173" fontId="3" fillId="18" borderId="13" xfId="0" applyNumberFormat="1" applyFont="1" applyFill="1" applyBorder="1" applyAlignment="1" applyProtection="1">
      <alignment horizontal="center" vertical="center"/>
      <protection locked="0"/>
    </xf>
    <xf numFmtId="173" fontId="3" fillId="18" borderId="35" xfId="0" applyNumberFormat="1" applyFont="1" applyFill="1" applyBorder="1" applyAlignment="1" applyProtection="1">
      <alignment horizontal="center" vertical="center"/>
      <protection locked="0"/>
    </xf>
    <xf numFmtId="173" fontId="3" fillId="14" borderId="48" xfId="0" applyNumberFormat="1" applyFont="1" applyFill="1" applyBorder="1" applyAlignment="1" applyProtection="1">
      <alignment horizontal="center" vertical="center"/>
      <protection locked="0"/>
    </xf>
    <xf numFmtId="173" fontId="3" fillId="14" borderId="77" xfId="0" applyNumberFormat="1" applyFont="1" applyFill="1" applyBorder="1" applyAlignment="1" applyProtection="1">
      <alignment horizontal="center" vertical="center"/>
      <protection locked="0"/>
    </xf>
    <xf numFmtId="173" fontId="3" fillId="0" borderId="1" xfId="0" applyNumberFormat="1" applyFont="1" applyFill="1" applyBorder="1" applyAlignment="1" applyProtection="1">
      <alignment horizontal="center" vertical="center"/>
      <protection locked="0"/>
    </xf>
    <xf numFmtId="173" fontId="3" fillId="0" borderId="68" xfId="0" applyNumberFormat="1" applyFont="1" applyFill="1" applyBorder="1" applyAlignment="1" applyProtection="1">
      <alignment horizontal="center" vertical="center"/>
      <protection locked="0"/>
    </xf>
    <xf numFmtId="173" fontId="11" fillId="0" borderId="1" xfId="0" applyNumberFormat="1" applyFont="1" applyBorder="1" applyAlignment="1">
      <alignment horizontal="center" vertical="center"/>
    </xf>
    <xf numFmtId="173" fontId="11" fillId="0" borderId="68" xfId="0" applyNumberFormat="1" applyFont="1" applyBorder="1" applyAlignment="1">
      <alignment horizontal="center" vertical="center"/>
    </xf>
    <xf numFmtId="173" fontId="3" fillId="14" borderId="1" xfId="0" applyNumberFormat="1" applyFont="1" applyFill="1" applyBorder="1" applyAlignment="1" applyProtection="1">
      <alignment horizontal="center" vertical="center"/>
      <protection locked="0"/>
    </xf>
    <xf numFmtId="173" fontId="3" fillId="14" borderId="68" xfId="0" applyNumberFormat="1" applyFont="1" applyFill="1" applyBorder="1" applyAlignment="1" applyProtection="1">
      <alignment horizontal="center" vertical="center"/>
      <protection locked="0"/>
    </xf>
    <xf numFmtId="173" fontId="0" fillId="0" borderId="1" xfId="0" applyNumberFormat="1" applyBorder="1"/>
    <xf numFmtId="173" fontId="0" fillId="0" borderId="68" xfId="0" applyNumberFormat="1" applyBorder="1"/>
    <xf numFmtId="173" fontId="77" fillId="0" borderId="13" xfId="0" applyNumberFormat="1" applyFont="1" applyFill="1" applyBorder="1" applyAlignment="1" applyProtection="1">
      <alignment horizontal="center" vertical="center"/>
      <protection locked="0"/>
    </xf>
    <xf numFmtId="173" fontId="77" fillId="0" borderId="35" xfId="0" applyNumberFormat="1" applyFont="1" applyFill="1" applyBorder="1" applyAlignment="1" applyProtection="1">
      <alignment horizontal="center" vertical="center"/>
      <protection locked="0"/>
    </xf>
    <xf numFmtId="173" fontId="9" fillId="0" borderId="1" xfId="0" applyNumberFormat="1" applyFont="1" applyFill="1" applyBorder="1" applyAlignment="1" applyProtection="1">
      <alignment horizontal="center" vertical="center"/>
      <protection locked="0"/>
    </xf>
    <xf numFmtId="173" fontId="9" fillId="0" borderId="68" xfId="0" applyNumberFormat="1" applyFont="1" applyFill="1" applyBorder="1" applyAlignment="1" applyProtection="1">
      <alignment horizontal="center" vertical="center"/>
      <protection locked="0"/>
    </xf>
    <xf numFmtId="173" fontId="77" fillId="0" borderId="1" xfId="0" applyNumberFormat="1" applyFont="1" applyFill="1" applyBorder="1" applyAlignment="1" applyProtection="1">
      <alignment horizontal="center" vertical="center"/>
      <protection locked="0"/>
    </xf>
    <xf numFmtId="173" fontId="77" fillId="0" borderId="68" xfId="0" applyNumberFormat="1" applyFont="1" applyFill="1" applyBorder="1" applyAlignment="1" applyProtection="1">
      <alignment horizontal="center" vertical="center"/>
      <protection locked="0"/>
    </xf>
    <xf numFmtId="173" fontId="77" fillId="0" borderId="58" xfId="0" applyNumberFormat="1" applyFont="1" applyFill="1" applyBorder="1" applyAlignment="1" applyProtection="1">
      <alignment horizontal="center" vertical="center"/>
      <protection locked="0"/>
    </xf>
    <xf numFmtId="173" fontId="77" fillId="0" borderId="56" xfId="0" applyNumberFormat="1" applyFont="1" applyFill="1" applyBorder="1" applyAlignment="1" applyProtection="1">
      <alignment horizontal="center" vertical="center"/>
      <protection locked="0"/>
    </xf>
    <xf numFmtId="173" fontId="3" fillId="18" borderId="55" xfId="0" applyNumberFormat="1" applyFont="1" applyFill="1" applyBorder="1" applyAlignment="1" applyProtection="1">
      <alignment horizontal="center" vertical="center"/>
      <protection locked="0"/>
    </xf>
    <xf numFmtId="173" fontId="3" fillId="18" borderId="79" xfId="0" applyNumberFormat="1" applyFont="1" applyFill="1" applyBorder="1" applyAlignment="1" applyProtection="1">
      <alignment horizontal="center" vertical="center"/>
      <protection locked="0"/>
    </xf>
    <xf numFmtId="173" fontId="3" fillId="0" borderId="48" xfId="0" applyNumberFormat="1" applyFont="1" applyFill="1" applyBorder="1" applyAlignment="1" applyProtection="1">
      <alignment horizontal="center" vertical="center"/>
      <protection locked="0"/>
    </xf>
    <xf numFmtId="173" fontId="3" fillId="0" borderId="77" xfId="0" applyNumberFormat="1" applyFont="1" applyFill="1" applyBorder="1" applyAlignment="1" applyProtection="1">
      <alignment horizontal="center" vertical="center"/>
      <protection locked="0"/>
    </xf>
    <xf numFmtId="173" fontId="3" fillId="4" borderId="1" xfId="0" applyNumberFormat="1" applyFont="1" applyFill="1" applyBorder="1" applyAlignment="1" applyProtection="1">
      <alignment horizontal="center" vertical="center"/>
      <protection locked="0"/>
    </xf>
    <xf numFmtId="173" fontId="3" fillId="4" borderId="68" xfId="0" applyNumberFormat="1" applyFont="1" applyFill="1" applyBorder="1" applyAlignment="1" applyProtection="1">
      <alignment horizontal="center" vertical="center"/>
      <protection locked="0"/>
    </xf>
    <xf numFmtId="173" fontId="77" fillId="18" borderId="47" xfId="0" applyNumberFormat="1" applyFont="1" applyFill="1" applyBorder="1" applyAlignment="1" applyProtection="1">
      <alignment horizontal="center" vertical="center"/>
      <protection locked="0"/>
    </xf>
    <xf numFmtId="173" fontId="77" fillId="18" borderId="51" xfId="0" applyNumberFormat="1" applyFont="1" applyFill="1" applyBorder="1" applyAlignment="1" applyProtection="1">
      <alignment horizontal="center" vertical="center"/>
      <protection locked="0"/>
    </xf>
    <xf numFmtId="173" fontId="77" fillId="14" borderId="27" xfId="0" applyNumberFormat="1" applyFont="1" applyFill="1" applyBorder="1" applyAlignment="1" applyProtection="1">
      <alignment horizontal="center" vertical="center"/>
      <protection locked="0"/>
    </xf>
    <xf numFmtId="173" fontId="77" fillId="14" borderId="71" xfId="0" applyNumberFormat="1" applyFont="1" applyFill="1" applyBorder="1" applyAlignment="1" applyProtection="1">
      <alignment horizontal="center" vertical="center"/>
      <protection locked="0"/>
    </xf>
    <xf numFmtId="173" fontId="11" fillId="0" borderId="1" xfId="0" applyNumberFormat="1" applyFont="1" applyFill="1" applyBorder="1" applyAlignment="1" applyProtection="1">
      <alignment horizontal="center" vertical="center"/>
      <protection locked="0"/>
    </xf>
    <xf numFmtId="173" fontId="11" fillId="0" borderId="68" xfId="0" applyNumberFormat="1" applyFont="1" applyFill="1" applyBorder="1" applyAlignment="1" applyProtection="1">
      <alignment horizontal="center" vertical="center"/>
      <protection locked="0"/>
    </xf>
    <xf numFmtId="173" fontId="77" fillId="18" borderId="55" xfId="0" applyNumberFormat="1" applyFont="1" applyFill="1" applyBorder="1" applyAlignment="1" applyProtection="1">
      <alignment horizontal="center" vertical="center"/>
      <protection locked="0"/>
    </xf>
    <xf numFmtId="173" fontId="77" fillId="18" borderId="79" xfId="0" applyNumberFormat="1" applyFont="1" applyFill="1" applyBorder="1" applyAlignment="1" applyProtection="1">
      <alignment horizontal="center" vertical="center"/>
      <protection locked="0"/>
    </xf>
    <xf numFmtId="173" fontId="77" fillId="14" borderId="48" xfId="0" applyNumberFormat="1" applyFont="1" applyFill="1" applyBorder="1" applyAlignment="1" applyProtection="1">
      <alignment horizontal="center" vertical="center"/>
      <protection locked="0"/>
    </xf>
    <xf numFmtId="173" fontId="77" fillId="14" borderId="77" xfId="0" applyNumberFormat="1" applyFont="1" applyFill="1" applyBorder="1" applyAlignment="1" applyProtection="1">
      <alignment horizontal="center" vertical="center"/>
      <protection locked="0"/>
    </xf>
    <xf numFmtId="173" fontId="11" fillId="0" borderId="28" xfId="0" applyNumberFormat="1" applyFont="1" applyBorder="1" applyAlignment="1">
      <alignment horizontal="center" vertical="center"/>
    </xf>
    <xf numFmtId="173" fontId="11" fillId="0" borderId="70" xfId="0" applyNumberFormat="1" applyFont="1" applyBorder="1" applyAlignment="1">
      <alignment horizontal="center" vertical="center"/>
    </xf>
    <xf numFmtId="173" fontId="34" fillId="0" borderId="13" xfId="0" applyNumberFormat="1" applyFont="1" applyBorder="1" applyAlignment="1">
      <alignment horizontal="center"/>
    </xf>
    <xf numFmtId="173" fontId="34" fillId="0" borderId="35" xfId="0" applyNumberFormat="1" applyFont="1" applyBorder="1" applyAlignment="1">
      <alignment horizontal="center"/>
    </xf>
    <xf numFmtId="173" fontId="87" fillId="0" borderId="48" xfId="0" applyNumberFormat="1" applyFont="1" applyBorder="1" applyAlignment="1">
      <alignment horizontal="center"/>
    </xf>
    <xf numFmtId="173" fontId="87" fillId="0" borderId="77" xfId="0" applyNumberFormat="1" applyFont="1" applyBorder="1" applyAlignment="1">
      <alignment horizontal="center"/>
    </xf>
    <xf numFmtId="173" fontId="34" fillId="0" borderId="1" xfId="0" applyNumberFormat="1" applyFont="1" applyBorder="1" applyAlignment="1">
      <alignment horizontal="center"/>
    </xf>
    <xf numFmtId="173" fontId="34" fillId="0" borderId="68" xfId="0" applyNumberFormat="1" applyFont="1" applyBorder="1" applyAlignment="1">
      <alignment horizontal="center"/>
    </xf>
    <xf numFmtId="173" fontId="87" fillId="0" borderId="28" xfId="0" applyNumberFormat="1" applyFont="1" applyBorder="1" applyAlignment="1">
      <alignment horizontal="center"/>
    </xf>
    <xf numFmtId="173" fontId="87" fillId="0" borderId="70" xfId="0" applyNumberFormat="1" applyFont="1" applyBorder="1" applyAlignment="1">
      <alignment horizontal="center"/>
    </xf>
    <xf numFmtId="0" fontId="84" fillId="0" borderId="8" xfId="0" applyFont="1" applyBorder="1" applyAlignment="1">
      <alignment horizontal="left" vertical="top" wrapText="1"/>
    </xf>
    <xf numFmtId="49" fontId="84" fillId="0" borderId="39" xfId="0" applyNumberFormat="1" applyFont="1" applyBorder="1" applyAlignment="1">
      <alignment horizontal="left"/>
    </xf>
    <xf numFmtId="0" fontId="33" fillId="0" borderId="23" xfId="0" applyFont="1" applyBorder="1" applyAlignment="1">
      <alignment horizontal="left" vertical="top" wrapText="1"/>
    </xf>
    <xf numFmtId="0" fontId="33" fillId="0" borderId="59" xfId="0" applyFont="1" applyBorder="1" applyAlignment="1">
      <alignment horizontal="left" vertical="top" wrapText="1"/>
    </xf>
    <xf numFmtId="0" fontId="86" fillId="0" borderId="59" xfId="0" applyFont="1" applyBorder="1" applyAlignment="1">
      <alignment horizontal="left" vertical="top" wrapText="1"/>
    </xf>
    <xf numFmtId="0" fontId="86" fillId="0" borderId="59" xfId="0" applyFont="1" applyBorder="1" applyAlignment="1">
      <alignment vertical="top" wrapText="1"/>
    </xf>
    <xf numFmtId="0" fontId="86" fillId="0" borderId="57" xfId="0" applyFont="1" applyBorder="1" applyAlignment="1">
      <alignment vertical="top" wrapText="1"/>
    </xf>
    <xf numFmtId="0" fontId="9" fillId="0" borderId="78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 vertical="top" wrapText="1"/>
    </xf>
    <xf numFmtId="0" fontId="84" fillId="0" borderId="23" xfId="0" applyFont="1" applyBorder="1" applyAlignment="1">
      <alignment horizontal="left" vertical="top" wrapText="1"/>
    </xf>
    <xf numFmtId="0" fontId="84" fillId="0" borderId="59" xfId="0" applyFont="1" applyBorder="1" applyAlignment="1">
      <alignment horizontal="left" vertical="top" wrapText="1"/>
    </xf>
    <xf numFmtId="0" fontId="84" fillId="0" borderId="59" xfId="0" applyFont="1" applyFill="1" applyBorder="1" applyAlignment="1">
      <alignment horizontal="left" vertical="top" wrapText="1"/>
    </xf>
    <xf numFmtId="0" fontId="85" fillId="0" borderId="59" xfId="0" applyFont="1" applyBorder="1" applyAlignment="1">
      <alignment horizontal="left"/>
    </xf>
    <xf numFmtId="0" fontId="85" fillId="0" borderId="6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/>
    </xf>
    <xf numFmtId="0" fontId="77" fillId="0" borderId="76" xfId="0" applyNumberFormat="1" applyFont="1" applyBorder="1" applyAlignment="1" applyProtection="1">
      <alignment horizontal="center" vertical="center"/>
      <protection locked="0"/>
    </xf>
    <xf numFmtId="0" fontId="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1" xfId="0" applyNumberFormat="1" applyFont="1" applyBorder="1" applyAlignment="1" applyProtection="1">
      <alignment horizontal="center" vertical="center" wrapText="1"/>
      <protection locked="0"/>
    </xf>
    <xf numFmtId="0" fontId="3" fillId="1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Protection="1">
      <protection locked="0"/>
    </xf>
    <xf numFmtId="0" fontId="77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7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4" borderId="67" xfId="0" applyNumberFormat="1" applyFont="1" applyFill="1" applyBorder="1" applyAlignment="1" applyProtection="1">
      <alignment horizontal="center" vertical="center"/>
      <protection locked="0"/>
    </xf>
    <xf numFmtId="0" fontId="9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3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0" xfId="0" applyNumberFormat="1" applyFont="1" applyFill="1" applyBorder="1" applyAlignment="1" applyProtection="1">
      <alignment horizontal="center" vertical="center"/>
      <protection locked="0"/>
    </xf>
    <xf numFmtId="0" fontId="3" fillId="14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12" borderId="67" xfId="0" applyNumberFormat="1" applyFont="1" applyFill="1" applyBorder="1" applyAlignment="1" applyProtection="1">
      <alignment horizontal="center" vertical="center" wrapText="1"/>
      <protection locked="0"/>
    </xf>
    <xf numFmtId="0" fontId="9" fillId="11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7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18" borderId="63" xfId="0" applyNumberFormat="1" applyFont="1" applyFill="1" applyBorder="1" applyAlignment="1" applyProtection="1">
      <alignment horizontal="center" vertical="center" wrapText="1"/>
      <protection locked="0"/>
    </xf>
    <xf numFmtId="0" fontId="77" fillId="14" borderId="6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9" xfId="0" applyNumberFormat="1" applyFont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175" fontId="77" fillId="0" borderId="0" xfId="0" applyNumberFormat="1" applyFont="1" applyBorder="1" applyAlignment="1" applyProtection="1">
      <alignment horizontal="center"/>
      <protection locked="0"/>
    </xf>
    <xf numFmtId="175" fontId="3" fillId="18" borderId="8" xfId="0" applyNumberFormat="1" applyFont="1" applyFill="1" applyBorder="1" applyAlignment="1" applyProtection="1">
      <alignment horizontal="center" vertical="center"/>
      <protection locked="0"/>
    </xf>
    <xf numFmtId="175" fontId="3" fillId="14" borderId="23" xfId="0" applyNumberFormat="1" applyFont="1" applyFill="1" applyBorder="1" applyAlignment="1" applyProtection="1">
      <alignment horizontal="center" vertical="center"/>
      <protection locked="0"/>
    </xf>
    <xf numFmtId="175" fontId="3" fillId="0" borderId="59" xfId="0" applyNumberFormat="1" applyFont="1" applyFill="1" applyBorder="1" applyAlignment="1" applyProtection="1">
      <alignment horizontal="center" vertical="center"/>
      <protection locked="0"/>
    </xf>
    <xf numFmtId="175" fontId="9" fillId="0" borderId="59" xfId="0" applyNumberFormat="1" applyFont="1" applyFill="1" applyBorder="1" applyAlignment="1" applyProtection="1">
      <alignment horizontal="center" vertical="center"/>
      <protection locked="0"/>
    </xf>
    <xf numFmtId="175" fontId="3" fillId="14" borderId="59" xfId="0" applyNumberFormat="1" applyFont="1" applyFill="1" applyBorder="1" applyAlignment="1" applyProtection="1">
      <alignment horizontal="center" vertical="center"/>
      <protection locked="0"/>
    </xf>
    <xf numFmtId="175" fontId="11" fillId="0" borderId="59" xfId="0" applyNumberFormat="1" applyFont="1" applyFill="1" applyBorder="1" applyAlignment="1" applyProtection="1">
      <alignment horizontal="center" vertical="center"/>
      <protection locked="0"/>
    </xf>
    <xf numFmtId="175" fontId="11" fillId="0" borderId="57" xfId="0" applyNumberFormat="1" applyFont="1" applyFill="1" applyBorder="1" applyAlignment="1" applyProtection="1">
      <alignment horizontal="center" vertical="center"/>
      <protection locked="0"/>
    </xf>
    <xf numFmtId="175" fontId="77" fillId="0" borderId="8" xfId="0" applyNumberFormat="1" applyFont="1" applyFill="1" applyBorder="1" applyAlignment="1" applyProtection="1">
      <alignment horizontal="center" vertical="center"/>
      <protection locked="0"/>
    </xf>
    <xf numFmtId="175" fontId="77" fillId="0" borderId="59" xfId="0" applyNumberFormat="1" applyFont="1" applyFill="1" applyBorder="1" applyAlignment="1" applyProtection="1">
      <alignment horizontal="center" vertical="center"/>
      <protection locked="0"/>
    </xf>
    <xf numFmtId="175" fontId="77" fillId="0" borderId="57" xfId="0" applyNumberFormat="1" applyFont="1" applyFill="1" applyBorder="1" applyAlignment="1" applyProtection="1">
      <alignment horizontal="center" vertical="center"/>
      <protection locked="0"/>
    </xf>
    <xf numFmtId="175" fontId="3" fillId="18" borderId="42" xfId="0" applyNumberFormat="1" applyFont="1" applyFill="1" applyBorder="1" applyAlignment="1" applyProtection="1">
      <alignment horizontal="center" vertical="center"/>
      <protection locked="0"/>
    </xf>
    <xf numFmtId="175" fontId="3" fillId="0" borderId="23" xfId="0" applyNumberFormat="1" applyFont="1" applyFill="1" applyBorder="1" applyAlignment="1" applyProtection="1">
      <alignment horizontal="center" vertical="center"/>
      <protection locked="0"/>
    </xf>
    <xf numFmtId="175" fontId="9" fillId="0" borderId="57" xfId="0" applyNumberFormat="1" applyFont="1" applyFill="1" applyBorder="1" applyAlignment="1" applyProtection="1">
      <alignment horizontal="center" vertical="center"/>
      <protection locked="0"/>
    </xf>
    <xf numFmtId="175" fontId="3" fillId="4" borderId="59" xfId="0" applyNumberFormat="1" applyFont="1" applyFill="1" applyBorder="1" applyAlignment="1" applyProtection="1">
      <alignment horizontal="center" vertical="center"/>
      <protection locked="0"/>
    </xf>
    <xf numFmtId="175" fontId="3" fillId="0" borderId="8" xfId="0" applyNumberFormat="1" applyFont="1" applyFill="1" applyBorder="1" applyAlignment="1" applyProtection="1">
      <alignment horizontal="center" vertical="center"/>
      <protection locked="0"/>
    </xf>
    <xf numFmtId="175" fontId="3" fillId="12" borderId="23" xfId="0" applyNumberFormat="1" applyFont="1" applyFill="1" applyBorder="1" applyAlignment="1" applyProtection="1">
      <alignment horizontal="center" vertical="center"/>
      <protection locked="0"/>
    </xf>
    <xf numFmtId="175" fontId="77" fillId="18" borderId="39" xfId="0" applyNumberFormat="1" applyFont="1" applyFill="1" applyBorder="1" applyAlignment="1" applyProtection="1">
      <alignment horizontal="center" vertical="center"/>
      <protection locked="0"/>
    </xf>
    <xf numFmtId="175" fontId="77" fillId="14" borderId="73" xfId="0" applyNumberFormat="1" applyFont="1" applyFill="1" applyBorder="1" applyAlignment="1" applyProtection="1">
      <alignment horizontal="center" vertical="center"/>
      <protection locked="0"/>
    </xf>
    <xf numFmtId="175" fontId="11" fillId="0" borderId="60" xfId="0" applyNumberFormat="1" applyFont="1" applyFill="1" applyBorder="1" applyAlignment="1" applyProtection="1">
      <alignment horizontal="center" vertical="center"/>
      <protection locked="0"/>
    </xf>
    <xf numFmtId="175" fontId="77" fillId="18" borderId="42" xfId="0" applyNumberFormat="1" applyFont="1" applyFill="1" applyBorder="1" applyAlignment="1" applyProtection="1">
      <alignment horizontal="center" vertical="center"/>
      <protection locked="0"/>
    </xf>
    <xf numFmtId="175" fontId="77" fillId="14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77" fillId="0" borderId="2" xfId="0" applyNumberFormat="1" applyFont="1" applyBorder="1" applyAlignment="1" applyProtection="1">
      <alignment horizontal="center" vertical="center"/>
      <protection locked="0"/>
    </xf>
    <xf numFmtId="0" fontId="3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Protection="1">
      <protection locked="0"/>
    </xf>
    <xf numFmtId="0" fontId="13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9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2" xfId="0" applyNumberFormat="1" applyFont="1" applyFill="1" applyBorder="1" applyAlignment="1" applyProtection="1">
      <alignment horizontal="center" vertical="center"/>
      <protection locked="0"/>
    </xf>
    <xf numFmtId="0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1" borderId="2" xfId="0" applyNumberFormat="1" applyFont="1" applyFill="1" applyBorder="1" applyAlignment="1" applyProtection="1">
      <alignment horizontal="center" vertical="center"/>
      <protection locked="0"/>
    </xf>
    <xf numFmtId="0" fontId="77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7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 wrapText="1"/>
    </xf>
    <xf numFmtId="173" fontId="2" fillId="9" borderId="59" xfId="0" applyNumberFormat="1" applyFont="1" applyFill="1" applyBorder="1" applyAlignment="1">
      <alignment horizontal="center" vertical="center" wrapText="1"/>
    </xf>
    <xf numFmtId="173" fontId="13" fillId="0" borderId="68" xfId="0" applyNumberFormat="1" applyFont="1" applyBorder="1" applyAlignment="1">
      <alignment horizontal="center" vertical="center" wrapText="1"/>
    </xf>
    <xf numFmtId="173" fontId="17" fillId="0" borderId="13" xfId="0" applyNumberFormat="1" applyFont="1" applyBorder="1" applyAlignment="1">
      <alignment horizontal="center" vertical="center" wrapText="1"/>
    </xf>
    <xf numFmtId="173" fontId="17" fillId="0" borderId="8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92" fillId="0" borderId="40" xfId="0" applyFont="1" applyBorder="1" applyAlignment="1" applyProtection="1">
      <alignment wrapText="1"/>
      <protection locked="0"/>
    </xf>
    <xf numFmtId="49" fontId="3" fillId="19" borderId="16" xfId="0" applyNumberFormat="1" applyFont="1" applyFill="1" applyBorder="1" applyAlignment="1">
      <alignment horizontal="left" vertical="center" wrapText="1" readingOrder="1"/>
    </xf>
    <xf numFmtId="49" fontId="3" fillId="19" borderId="1" xfId="0" applyNumberFormat="1" applyFont="1" applyFill="1" applyBorder="1" applyAlignment="1">
      <alignment horizontal="left" vertical="center" wrapText="1" readingOrder="1"/>
    </xf>
    <xf numFmtId="0" fontId="2" fillId="9" borderId="5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57" xfId="0" applyFont="1" applyBorder="1" applyAlignment="1">
      <alignment vertical="center" wrapText="1"/>
    </xf>
    <xf numFmtId="0" fontId="18" fillId="19" borderId="2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76" xfId="0" applyFont="1" applyBorder="1" applyAlignment="1">
      <alignment horizontal="center" vertical="center" wrapText="1"/>
    </xf>
    <xf numFmtId="0" fontId="2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71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24" xfId="0" applyNumberFormat="1" applyFont="1" applyFill="1" applyBorder="1" applyAlignment="1" applyProtection="1">
      <alignment horizontal="center" vertical="center" wrapText="1"/>
      <protection locked="0"/>
    </xf>
    <xf numFmtId="0" fontId="39" fillId="19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>
      <alignment horizontal="center" vertical="center" wrapText="1"/>
    </xf>
    <xf numFmtId="173" fontId="37" fillId="0" borderId="1" xfId="0" applyNumberFormat="1" applyFont="1" applyBorder="1" applyAlignment="1">
      <alignment horizontal="center" vertical="center" wrapText="1"/>
    </xf>
    <xf numFmtId="173" fontId="37" fillId="0" borderId="16" xfId="0" applyNumberFormat="1" applyFont="1" applyBorder="1" applyAlignment="1">
      <alignment horizontal="center" vertical="center" wrapText="1"/>
    </xf>
    <xf numFmtId="173" fontId="37" fillId="0" borderId="59" xfId="0" applyNumberFormat="1" applyFont="1" applyBorder="1" applyAlignment="1">
      <alignment horizontal="center" vertical="center" wrapText="1"/>
    </xf>
    <xf numFmtId="173" fontId="10" fillId="0" borderId="59" xfId="0" applyNumberFormat="1" applyFont="1" applyBorder="1" applyAlignment="1">
      <alignment horizontal="center" vertical="center" wrapText="1"/>
    </xf>
    <xf numFmtId="0" fontId="107" fillId="9" borderId="48" xfId="0" applyFont="1" applyFill="1" applyBorder="1" applyAlignment="1">
      <alignment horizontal="center" vertical="center" wrapText="1"/>
    </xf>
    <xf numFmtId="0" fontId="107" fillId="9" borderId="73" xfId="0" applyFont="1" applyFill="1" applyBorder="1" applyAlignment="1">
      <alignment horizontal="center" vertical="center" wrapText="1"/>
    </xf>
    <xf numFmtId="0" fontId="107" fillId="9" borderId="27" xfId="0" applyFont="1" applyFill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173" fontId="108" fillId="0" borderId="59" xfId="0" applyNumberFormat="1" applyFont="1" applyBorder="1" applyAlignment="1">
      <alignment horizontal="center" vertical="center" wrapText="1"/>
    </xf>
    <xf numFmtId="173" fontId="109" fillId="0" borderId="1" xfId="0" applyNumberFormat="1" applyFont="1" applyBorder="1" applyAlignment="1">
      <alignment horizontal="center" vertical="center" wrapText="1"/>
    </xf>
    <xf numFmtId="0" fontId="109" fillId="0" borderId="59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173" fontId="109" fillId="0" borderId="59" xfId="0" applyNumberFormat="1" applyFont="1" applyBorder="1" applyAlignment="1">
      <alignment horizontal="center" vertical="center" wrapText="1"/>
    </xf>
    <xf numFmtId="173" fontId="14" fillId="0" borderId="1" xfId="0" applyNumberFormat="1" applyFont="1" applyBorder="1" applyAlignment="1">
      <alignment horizontal="center" vertical="center" wrapText="1"/>
    </xf>
    <xf numFmtId="173" fontId="14" fillId="0" borderId="16" xfId="0" applyNumberFormat="1" applyFont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center" vertical="center" wrapText="1"/>
    </xf>
    <xf numFmtId="173" fontId="13" fillId="0" borderId="2" xfId="0" applyNumberFormat="1" applyFont="1" applyBorder="1" applyAlignment="1">
      <alignment horizontal="center" vertical="center" wrapText="1"/>
    </xf>
    <xf numFmtId="173" fontId="13" fillId="0" borderId="19" xfId="0" applyNumberFormat="1" applyFont="1" applyBorder="1" applyAlignment="1">
      <alignment horizontal="center" vertical="center" wrapText="1"/>
    </xf>
    <xf numFmtId="173" fontId="13" fillId="0" borderId="29" xfId="0" applyNumberFormat="1" applyFont="1" applyBorder="1" applyAlignment="1">
      <alignment horizontal="center" vertical="center" wrapText="1"/>
    </xf>
    <xf numFmtId="173" fontId="13" fillId="0" borderId="38" xfId="0" applyNumberFormat="1" applyFont="1" applyBorder="1" applyAlignment="1">
      <alignment horizontal="center" vertical="center" wrapText="1"/>
    </xf>
    <xf numFmtId="173" fontId="13" fillId="0" borderId="30" xfId="0" applyNumberFormat="1" applyFont="1" applyBorder="1" applyAlignment="1">
      <alignment horizontal="center" vertical="center" wrapText="1"/>
    </xf>
    <xf numFmtId="173" fontId="110" fillId="0" borderId="0" xfId="0" applyNumberFormat="1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67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173" fontId="18" fillId="0" borderId="2" xfId="0" applyNumberFormat="1" applyFont="1" applyBorder="1" applyAlignment="1">
      <alignment horizontal="center" vertical="center" wrapText="1"/>
    </xf>
    <xf numFmtId="173" fontId="2" fillId="9" borderId="73" xfId="0" applyNumberFormat="1" applyFont="1" applyFill="1" applyBorder="1" applyAlignment="1">
      <alignment horizontal="center" vertical="center" wrapText="1"/>
    </xf>
    <xf numFmtId="173" fontId="2" fillId="9" borderId="71" xfId="0" applyNumberFormat="1" applyFont="1" applyFill="1" applyBorder="1" applyAlignment="1">
      <alignment horizontal="center" vertical="center" wrapText="1"/>
    </xf>
    <xf numFmtId="173" fontId="2" fillId="19" borderId="48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75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5" fontId="18" fillId="0" borderId="2" xfId="0" applyNumberFormat="1" applyFont="1" applyFill="1" applyBorder="1" applyAlignment="1" applyProtection="1">
      <alignment horizontal="center" vertical="center"/>
      <protection locked="0"/>
    </xf>
    <xf numFmtId="173" fontId="56" fillId="0" borderId="16" xfId="0" applyNumberFormat="1" applyFont="1" applyFill="1" applyBorder="1" applyAlignment="1">
      <alignment horizontal="center" vertical="center" wrapText="1"/>
    </xf>
    <xf numFmtId="173" fontId="56" fillId="0" borderId="5" xfId="0" applyNumberFormat="1" applyFont="1" applyFill="1" applyBorder="1" applyAlignment="1">
      <alignment horizontal="center" vertical="center" wrapText="1"/>
    </xf>
    <xf numFmtId="173" fontId="56" fillId="0" borderId="2" xfId="0" applyNumberFormat="1" applyFont="1" applyFill="1" applyBorder="1" applyAlignment="1">
      <alignment horizontal="center" vertical="center" wrapText="1"/>
    </xf>
    <xf numFmtId="173" fontId="56" fillId="0" borderId="19" xfId="0" applyNumberFormat="1" applyFont="1" applyFill="1" applyBorder="1" applyAlignment="1">
      <alignment horizontal="center" vertical="center" wrapText="1"/>
    </xf>
    <xf numFmtId="173" fontId="56" fillId="0" borderId="46" xfId="0" applyNumberFormat="1" applyFont="1" applyFill="1" applyBorder="1" applyAlignment="1">
      <alignment horizontal="center" vertical="center" wrapText="1"/>
    </xf>
    <xf numFmtId="173" fontId="56" fillId="0" borderId="29" xfId="0" applyNumberFormat="1" applyFont="1" applyFill="1" applyBorder="1" applyAlignment="1">
      <alignment horizontal="center" vertical="center" wrapText="1"/>
    </xf>
    <xf numFmtId="173" fontId="56" fillId="0" borderId="38" xfId="0" applyNumberFormat="1" applyFont="1" applyFill="1" applyBorder="1" applyAlignment="1">
      <alignment horizontal="center" vertical="center" wrapText="1"/>
    </xf>
    <xf numFmtId="173" fontId="56" fillId="0" borderId="30" xfId="0" applyNumberFormat="1" applyFont="1" applyFill="1" applyBorder="1" applyAlignment="1">
      <alignment horizontal="center" vertical="center" wrapText="1"/>
    </xf>
    <xf numFmtId="173" fontId="93" fillId="0" borderId="16" xfId="0" applyNumberFormat="1" applyFont="1" applyFill="1" applyBorder="1" applyAlignment="1">
      <alignment horizontal="center" vertical="center" wrapText="1"/>
    </xf>
    <xf numFmtId="173" fontId="93" fillId="0" borderId="5" xfId="0" applyNumberFormat="1" applyFont="1" applyFill="1" applyBorder="1" applyAlignment="1">
      <alignment horizontal="center" vertical="center" wrapText="1"/>
    </xf>
    <xf numFmtId="173" fontId="93" fillId="0" borderId="2" xfId="0" applyNumberFormat="1" applyFont="1" applyFill="1" applyBorder="1" applyAlignment="1">
      <alignment horizontal="center" vertical="center" wrapText="1"/>
    </xf>
    <xf numFmtId="173" fontId="93" fillId="0" borderId="19" xfId="0" applyNumberFormat="1" applyFont="1" applyFill="1" applyBorder="1" applyAlignment="1">
      <alignment horizontal="center" vertical="center" wrapText="1"/>
    </xf>
    <xf numFmtId="173" fontId="94" fillId="0" borderId="16" xfId="0" applyNumberFormat="1" applyFont="1" applyFill="1" applyBorder="1" applyAlignment="1">
      <alignment horizontal="center" vertical="center" wrapText="1"/>
    </xf>
    <xf numFmtId="173" fontId="94" fillId="0" borderId="5" xfId="0" applyNumberFormat="1" applyFont="1" applyFill="1" applyBorder="1" applyAlignment="1">
      <alignment horizontal="center" vertical="center" wrapText="1"/>
    </xf>
    <xf numFmtId="173" fontId="94" fillId="0" borderId="2" xfId="0" applyNumberFormat="1" applyFont="1" applyFill="1" applyBorder="1" applyAlignment="1">
      <alignment horizontal="center" vertical="center" wrapText="1"/>
    </xf>
    <xf numFmtId="173" fontId="94" fillId="0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5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8" xfId="0" applyNumberFormat="1" applyFont="1" applyFill="1" applyBorder="1" applyAlignment="1" applyProtection="1">
      <alignment horizontal="center" vertical="center" wrapText="1"/>
      <protection locked="0"/>
    </xf>
    <xf numFmtId="175" fontId="2" fillId="20" borderId="13" xfId="0" applyNumberFormat="1" applyFont="1" applyFill="1" applyBorder="1" applyAlignment="1" applyProtection="1">
      <alignment horizontal="center" vertical="center"/>
      <protection locked="0"/>
    </xf>
    <xf numFmtId="49" fontId="5" fillId="2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4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42" xfId="0" applyNumberFormat="1" applyFont="1" applyFill="1" applyBorder="1" applyAlignment="1" applyProtection="1">
      <alignment horizontal="center" vertical="center" wrapText="1"/>
      <protection locked="0"/>
    </xf>
    <xf numFmtId="175" fontId="2" fillId="20" borderId="55" xfId="0" applyNumberFormat="1" applyFont="1" applyFill="1" applyBorder="1" applyAlignment="1" applyProtection="1">
      <alignment horizontal="center" vertical="center"/>
      <protection locked="0"/>
    </xf>
    <xf numFmtId="0" fontId="8" fillId="2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2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20" borderId="8" xfId="0" applyNumberFormat="1" applyFont="1" applyFill="1" applyBorder="1" applyAlignment="1" applyProtection="1">
      <alignment horizontal="center" vertical="center" wrapText="1"/>
      <protection locked="0"/>
    </xf>
    <xf numFmtId="175" fontId="8" fillId="20" borderId="13" xfId="0" applyNumberFormat="1" applyFont="1" applyFill="1" applyBorder="1" applyAlignment="1" applyProtection="1">
      <alignment horizontal="center" vertical="center"/>
      <protection locked="0"/>
    </xf>
    <xf numFmtId="0" fontId="3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5" xfId="0" applyNumberFormat="1" applyFont="1" applyFill="1" applyBorder="1" applyAlignment="1" applyProtection="1">
      <alignment vertical="center" wrapText="1"/>
      <protection locked="0"/>
    </xf>
    <xf numFmtId="0" fontId="77" fillId="19" borderId="15" xfId="0" applyNumberFormat="1" applyFont="1" applyFill="1" applyBorder="1" applyAlignment="1" applyProtection="1">
      <alignment vertical="center" wrapText="1"/>
      <protection locked="0"/>
    </xf>
    <xf numFmtId="0" fontId="77" fillId="19" borderId="21" xfId="0" applyNumberFormat="1" applyFont="1" applyFill="1" applyBorder="1" applyAlignment="1" applyProtection="1">
      <alignment horizontal="center" vertical="center" wrapText="1"/>
      <protection locked="0"/>
    </xf>
    <xf numFmtId="0" fontId="77" fillId="19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46" xfId="0" applyNumberFormat="1" applyFont="1" applyFill="1" applyBorder="1" applyAlignment="1" applyProtection="1">
      <alignment vertical="center" wrapText="1"/>
      <protection locked="0"/>
    </xf>
    <xf numFmtId="0" fontId="11" fillId="19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16" xfId="0" applyNumberFormat="1" applyFont="1" applyFill="1" applyBorder="1" applyAlignment="1" applyProtection="1">
      <alignment horizontal="center" vertical="center"/>
      <protection locked="0"/>
    </xf>
    <xf numFmtId="0" fontId="71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67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19" borderId="2" xfId="0" applyNumberFormat="1" applyFont="1" applyFill="1" applyBorder="1" applyAlignment="1" applyProtection="1">
      <alignment horizontal="center" vertical="center"/>
      <protection locked="0"/>
    </xf>
    <xf numFmtId="0" fontId="19" fillId="19" borderId="11" xfId="0" applyNumberFormat="1" applyFont="1" applyFill="1" applyBorder="1" applyAlignment="1" applyProtection="1">
      <alignment horizontal="center" vertical="center"/>
      <protection locked="0"/>
    </xf>
    <xf numFmtId="0" fontId="19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19" borderId="2" xfId="0" applyNumberFormat="1" applyFont="1" applyFill="1" applyBorder="1" applyAlignment="1" applyProtection="1">
      <alignment horizontal="center" vertical="center"/>
      <protection locked="0"/>
    </xf>
    <xf numFmtId="0" fontId="58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3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19" borderId="5" xfId="0" applyNumberFormat="1" applyFont="1" applyFill="1" applyBorder="1" applyAlignment="1" applyProtection="1">
      <alignment vertical="center" wrapText="1"/>
      <protection locked="0"/>
    </xf>
    <xf numFmtId="0" fontId="71" fillId="19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0" applyFill="1"/>
    <xf numFmtId="0" fontId="0" fillId="19" borderId="0" xfId="0" applyFont="1" applyFill="1"/>
    <xf numFmtId="0" fontId="0" fillId="0" borderId="0" xfId="0" applyFont="1"/>
    <xf numFmtId="0" fontId="55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19" borderId="2" xfId="0" applyNumberFormat="1" applyFont="1" applyFill="1" applyBorder="1" applyAlignment="1" applyProtection="1">
      <alignment horizontal="center" vertical="center"/>
      <protection locked="0"/>
    </xf>
    <xf numFmtId="0" fontId="71" fillId="19" borderId="11" xfId="0" applyNumberFormat="1" applyFont="1" applyFill="1" applyBorder="1" applyAlignment="1" applyProtection="1">
      <alignment horizontal="center" vertical="center"/>
      <protection locked="0"/>
    </xf>
    <xf numFmtId="175" fontId="18" fillId="19" borderId="48" xfId="0" applyNumberFormat="1" applyFont="1" applyFill="1" applyBorder="1" applyAlignment="1">
      <alignment horizontal="center"/>
    </xf>
    <xf numFmtId="175" fontId="34" fillId="19" borderId="4" xfId="0" applyNumberFormat="1" applyFont="1" applyFill="1" applyBorder="1" applyAlignment="1">
      <alignment horizontal="center"/>
    </xf>
    <xf numFmtId="2" fontId="87" fillId="19" borderId="15" xfId="0" applyNumberFormat="1" applyFont="1" applyFill="1" applyBorder="1" applyAlignment="1">
      <alignment horizontal="center"/>
    </xf>
    <xf numFmtId="0" fontId="87" fillId="19" borderId="16" xfId="0" applyFont="1" applyFill="1" applyBorder="1" applyAlignment="1">
      <alignment horizontal="center"/>
    </xf>
    <xf numFmtId="173" fontId="34" fillId="19" borderId="68" xfId="0" applyNumberFormat="1" applyFont="1" applyFill="1" applyBorder="1" applyAlignment="1">
      <alignment horizontal="center"/>
    </xf>
    <xf numFmtId="1" fontId="87" fillId="19" borderId="1" xfId="0" applyNumberFormat="1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 applyProtection="1">
      <alignment horizontal="center" vertical="center"/>
      <protection locked="0"/>
    </xf>
    <xf numFmtId="49" fontId="3" fillId="18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18" borderId="4" xfId="0" applyNumberFormat="1" applyFont="1" applyFill="1" applyBorder="1" applyAlignment="1" applyProtection="1">
      <alignment horizontal="center" vertical="center"/>
      <protection locked="0"/>
    </xf>
    <xf numFmtId="49" fontId="3" fillId="14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44" xfId="0" applyNumberFormat="1" applyFont="1" applyFill="1" applyBorder="1" applyAlignment="1" applyProtection="1">
      <alignment horizontal="center" vertical="center"/>
      <protection locked="0"/>
    </xf>
    <xf numFmtId="49" fontId="15" fillId="0" borderId="44" xfId="0" applyNumberFormat="1" applyFont="1" applyFill="1" applyBorder="1" applyAlignment="1" applyProtection="1">
      <alignment horizontal="center" vertical="center"/>
      <protection locked="0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14" borderId="16" xfId="0" applyNumberFormat="1" applyFont="1" applyFill="1" applyBorder="1" applyAlignment="1" applyProtection="1">
      <alignment horizontal="center" vertical="center"/>
      <protection locked="0"/>
    </xf>
    <xf numFmtId="49" fontId="77" fillId="18" borderId="4" xfId="0" applyNumberFormat="1" applyFont="1" applyFill="1" applyBorder="1" applyAlignment="1" applyProtection="1">
      <alignment horizontal="center" vertical="center"/>
      <protection locked="0"/>
    </xf>
    <xf numFmtId="49" fontId="77" fillId="14" borderId="43" xfId="0" applyNumberFormat="1" applyFont="1" applyFill="1" applyBorder="1" applyAlignment="1" applyProtection="1">
      <alignment horizontal="center" vertical="center"/>
      <protection locked="0"/>
    </xf>
    <xf numFmtId="49" fontId="13" fillId="0" borderId="46" xfId="0" applyNumberFormat="1" applyFont="1" applyFill="1" applyBorder="1" applyAlignment="1" applyProtection="1">
      <alignment horizontal="center" vertical="center"/>
      <protection locked="0"/>
    </xf>
    <xf numFmtId="49" fontId="77" fillId="14" borderId="40" xfId="0" applyNumberFormat="1" applyFont="1" applyFill="1" applyBorder="1" applyAlignment="1" applyProtection="1">
      <alignment horizontal="center" vertical="center"/>
      <protection locked="0"/>
    </xf>
    <xf numFmtId="0" fontId="77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39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71" fillId="19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71" fillId="19" borderId="5" xfId="0" applyNumberFormat="1" applyFont="1" applyFill="1" applyBorder="1" applyAlignment="1" applyProtection="1">
      <alignment wrapText="1" readingOrder="1"/>
      <protection locked="0"/>
    </xf>
    <xf numFmtId="0" fontId="3" fillId="19" borderId="5" xfId="0" applyNumberFormat="1" applyFont="1" applyFill="1" applyBorder="1" applyAlignment="1" applyProtection="1">
      <alignment vertical="center" wrapText="1"/>
      <protection locked="0"/>
    </xf>
    <xf numFmtId="0" fontId="9" fillId="19" borderId="5" xfId="0" applyNumberFormat="1" applyFont="1" applyFill="1" applyBorder="1" applyAlignment="1" applyProtection="1">
      <alignment wrapText="1" readingOrder="1"/>
      <protection locked="0"/>
    </xf>
    <xf numFmtId="0" fontId="19" fillId="19" borderId="5" xfId="0" applyNumberFormat="1" applyFont="1" applyFill="1" applyBorder="1" applyAlignment="1" applyProtection="1">
      <alignment wrapText="1" readingOrder="1"/>
      <protection locked="0"/>
    </xf>
    <xf numFmtId="0" fontId="19" fillId="19" borderId="5" xfId="0" applyNumberFormat="1" applyFont="1" applyFill="1" applyBorder="1" applyAlignment="1" applyProtection="1">
      <alignment vertical="center" wrapText="1"/>
      <protection locked="0"/>
    </xf>
    <xf numFmtId="0" fontId="39" fillId="19" borderId="5" xfId="0" applyNumberFormat="1" applyFont="1" applyFill="1" applyBorder="1" applyAlignment="1" applyProtection="1">
      <alignment vertical="center" wrapText="1"/>
      <protection locked="0"/>
    </xf>
    <xf numFmtId="0" fontId="18" fillId="19" borderId="5" xfId="0" applyNumberFormat="1" applyFont="1" applyFill="1" applyBorder="1" applyAlignment="1" applyProtection="1">
      <alignment vertical="center" wrapText="1"/>
      <protection locked="0"/>
    </xf>
    <xf numFmtId="0" fontId="19" fillId="19" borderId="21" xfId="0" applyNumberFormat="1" applyFont="1" applyFill="1" applyBorder="1" applyAlignment="1" applyProtection="1">
      <alignment horizontal="left" vertical="center" wrapText="1" readingOrder="1"/>
      <protection locked="0"/>
    </xf>
    <xf numFmtId="49" fontId="39" fillId="19" borderId="24" xfId="0" applyNumberFormat="1" applyFont="1" applyFill="1" applyBorder="1" applyAlignment="1">
      <alignment horizontal="center" vertical="center"/>
    </xf>
    <xf numFmtId="0" fontId="71" fillId="19" borderId="7" xfId="0" applyNumberFormat="1" applyFont="1" applyFill="1" applyBorder="1" applyAlignment="1" applyProtection="1">
      <alignment horizontal="left" vertical="center" wrapText="1" readingOrder="1"/>
      <protection locked="0"/>
    </xf>
    <xf numFmtId="49" fontId="39" fillId="19" borderId="67" xfId="0" applyNumberFormat="1" applyFont="1" applyFill="1" applyBorder="1" applyAlignment="1">
      <alignment horizontal="center" vertical="center"/>
    </xf>
    <xf numFmtId="0" fontId="58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11" xfId="0" applyNumberFormat="1" applyFont="1" applyFill="1" applyBorder="1" applyAlignment="1" applyProtection="1">
      <alignment horizontal="center" vertical="center" wrapText="1"/>
      <protection locked="0"/>
    </xf>
    <xf numFmtId="175" fontId="18" fillId="19" borderId="15" xfId="0" applyNumberFormat="1" applyFont="1" applyFill="1" applyBorder="1" applyAlignment="1">
      <alignment horizontal="center"/>
    </xf>
    <xf numFmtId="175" fontId="18" fillId="19" borderId="15" xfId="0" applyNumberFormat="1" applyFont="1" applyFill="1" applyBorder="1" applyAlignment="1" applyProtection="1">
      <alignment horizontal="center" vertical="center"/>
      <protection locked="0"/>
    </xf>
    <xf numFmtId="175" fontId="71" fillId="19" borderId="16" xfId="0" applyNumberFormat="1" applyFont="1" applyFill="1" applyBorder="1" applyAlignment="1" applyProtection="1">
      <alignment horizontal="center" vertical="center"/>
      <protection locked="0"/>
    </xf>
    <xf numFmtId="175" fontId="77" fillId="19" borderId="16" xfId="0" applyNumberFormat="1" applyFont="1" applyFill="1" applyBorder="1" applyAlignment="1" applyProtection="1">
      <alignment horizontal="center" vertical="center"/>
      <protection locked="0"/>
    </xf>
    <xf numFmtId="175" fontId="11" fillId="19" borderId="16" xfId="0" applyNumberFormat="1" applyFont="1" applyFill="1" applyBorder="1" applyAlignment="1" applyProtection="1">
      <alignment horizontal="center" vertical="center"/>
      <protection locked="0"/>
    </xf>
    <xf numFmtId="175" fontId="19" fillId="19" borderId="15" xfId="0" applyNumberFormat="1" applyFont="1" applyFill="1" applyBorder="1" applyAlignment="1" applyProtection="1">
      <alignment horizontal="center" vertical="center"/>
      <protection locked="0"/>
    </xf>
    <xf numFmtId="175" fontId="39" fillId="19" borderId="16" xfId="0" applyNumberFormat="1" applyFont="1" applyFill="1" applyBorder="1" applyAlignment="1" applyProtection="1">
      <alignment horizontal="center" vertical="center"/>
      <protection locked="0"/>
    </xf>
    <xf numFmtId="175" fontId="19" fillId="19" borderId="16" xfId="0" applyNumberFormat="1" applyFont="1" applyFill="1" applyBorder="1" applyAlignment="1" applyProtection="1">
      <alignment horizontal="center" vertical="center"/>
      <protection locked="0"/>
    </xf>
    <xf numFmtId="175" fontId="18" fillId="19" borderId="1" xfId="0" applyNumberFormat="1" applyFont="1" applyFill="1" applyBorder="1" applyAlignment="1" applyProtection="1">
      <alignment horizontal="center" vertical="center"/>
      <protection locked="0"/>
    </xf>
    <xf numFmtId="49" fontId="33" fillId="7" borderId="21" xfId="0" applyNumberFormat="1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top" wrapText="1"/>
    </xf>
    <xf numFmtId="173" fontId="53" fillId="0" borderId="15" xfId="0" applyNumberFormat="1" applyFont="1" applyBorder="1" applyAlignment="1">
      <alignment horizontal="center" vertical="center" wrapText="1"/>
    </xf>
    <xf numFmtId="173" fontId="53" fillId="0" borderId="36" xfId="0" applyNumberFormat="1" applyFont="1" applyBorder="1" applyAlignment="1">
      <alignment horizontal="center" vertical="center" wrapText="1"/>
    </xf>
    <xf numFmtId="173" fontId="53" fillId="0" borderId="62" xfId="0" applyNumberFormat="1" applyFont="1" applyBorder="1" applyAlignment="1">
      <alignment horizontal="center" vertical="center" wrapText="1"/>
    </xf>
    <xf numFmtId="173" fontId="53" fillId="0" borderId="37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173" fontId="53" fillId="0" borderId="16" xfId="0" applyNumberFormat="1" applyFont="1" applyBorder="1" applyAlignment="1">
      <alignment horizontal="center" vertical="center" wrapText="1"/>
    </xf>
    <xf numFmtId="173" fontId="8" fillId="0" borderId="5" xfId="0" applyNumberFormat="1" applyFont="1" applyBorder="1" applyAlignment="1">
      <alignment horizontal="center" vertical="center"/>
    </xf>
    <xf numFmtId="173" fontId="8" fillId="0" borderId="9" xfId="0" applyNumberFormat="1" applyFont="1" applyBorder="1" applyAlignment="1">
      <alignment horizontal="center" vertical="center"/>
    </xf>
    <xf numFmtId="173" fontId="8" fillId="0" borderId="68" xfId="0" applyNumberFormat="1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173" fontId="2" fillId="0" borderId="5" xfId="0" applyNumberFormat="1" applyFont="1" applyBorder="1" applyAlignment="1">
      <alignment horizontal="center" vertical="center"/>
    </xf>
    <xf numFmtId="173" fontId="2" fillId="0" borderId="2" xfId="0" applyNumberFormat="1" applyFont="1" applyBorder="1" applyAlignment="1">
      <alignment horizontal="center" vertical="center"/>
    </xf>
    <xf numFmtId="173" fontId="53" fillId="0" borderId="5" xfId="0" applyNumberFormat="1" applyFont="1" applyBorder="1" applyAlignment="1">
      <alignment horizontal="center" vertical="center" wrapText="1"/>
    </xf>
    <xf numFmtId="173" fontId="53" fillId="0" borderId="2" xfId="0" applyNumberFormat="1" applyFont="1" applyBorder="1" applyAlignment="1">
      <alignment horizontal="center" vertical="center" wrapText="1"/>
    </xf>
    <xf numFmtId="173" fontId="53" fillId="0" borderId="19" xfId="0" applyNumberFormat="1" applyFont="1" applyBorder="1" applyAlignment="1">
      <alignment horizontal="center" vertical="center" wrapText="1"/>
    </xf>
    <xf numFmtId="173" fontId="95" fillId="0" borderId="16" xfId="0" applyNumberFormat="1" applyFont="1" applyFill="1" applyBorder="1" applyAlignment="1">
      <alignment horizontal="center" vertical="center" wrapText="1"/>
    </xf>
    <xf numFmtId="173" fontId="95" fillId="0" borderId="1" xfId="0" applyNumberFormat="1" applyFont="1" applyFill="1" applyBorder="1" applyAlignment="1">
      <alignment horizontal="center" vertical="center" wrapText="1"/>
    </xf>
    <xf numFmtId="173" fontId="95" fillId="0" borderId="5" xfId="0" applyNumberFormat="1" applyFont="1" applyFill="1" applyBorder="1" applyAlignment="1">
      <alignment horizontal="center" vertical="center" wrapText="1"/>
    </xf>
    <xf numFmtId="173" fontId="95" fillId="0" borderId="2" xfId="0" applyNumberFormat="1" applyFont="1" applyFill="1" applyBorder="1" applyAlignment="1">
      <alignment horizontal="center" vertical="center" wrapText="1"/>
    </xf>
    <xf numFmtId="173" fontId="95" fillId="0" borderId="19" xfId="0" applyNumberFormat="1" applyFont="1" applyFill="1" applyBorder="1" applyAlignment="1">
      <alignment horizontal="center" vertical="center" wrapText="1"/>
    </xf>
    <xf numFmtId="49" fontId="23" fillId="5" borderId="49" xfId="0" applyNumberFormat="1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horizontal="center" vertical="center" wrapText="1"/>
    </xf>
    <xf numFmtId="175" fontId="66" fillId="3" borderId="53" xfId="0" applyNumberFormat="1" applyFont="1" applyFill="1" applyBorder="1" applyAlignment="1">
      <alignment horizontal="center" vertical="center" wrapText="1"/>
    </xf>
    <xf numFmtId="0" fontId="30" fillId="6" borderId="54" xfId="0" applyFont="1" applyFill="1" applyBorder="1" applyAlignment="1">
      <alignment horizontal="center" vertical="center" wrapText="1"/>
    </xf>
    <xf numFmtId="175" fontId="43" fillId="5" borderId="53" xfId="0" applyNumberFormat="1" applyFont="1" applyFill="1" applyBorder="1" applyAlignment="1">
      <alignment horizontal="center" vertical="center"/>
    </xf>
    <xf numFmtId="175" fontId="26" fillId="5" borderId="53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/>
    </xf>
    <xf numFmtId="0" fontId="44" fillId="6" borderId="53" xfId="0" applyFont="1" applyFill="1" applyBorder="1" applyAlignment="1">
      <alignment horizontal="center" vertical="center"/>
    </xf>
    <xf numFmtId="0" fontId="35" fillId="5" borderId="53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175" fontId="5" fillId="3" borderId="53" xfId="0" applyNumberFormat="1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175" fontId="66" fillId="3" borderId="13" xfId="0" applyNumberFormat="1" applyFont="1" applyFill="1" applyBorder="1" applyAlignment="1">
      <alignment horizontal="center" vertical="center" wrapText="1"/>
    </xf>
    <xf numFmtId="175" fontId="66" fillId="6" borderId="13" xfId="0" applyNumberFormat="1" applyFont="1" applyFill="1" applyBorder="1" applyAlignment="1">
      <alignment horizontal="center" vertical="center" wrapText="1"/>
    </xf>
    <xf numFmtId="175" fontId="42" fillId="5" borderId="13" xfId="0" applyNumberFormat="1" applyFont="1" applyFill="1" applyBorder="1" applyAlignment="1">
      <alignment horizontal="center" vertical="center" wrapText="1"/>
    </xf>
    <xf numFmtId="175" fontId="53" fillId="0" borderId="48" xfId="0" applyNumberFormat="1" applyFont="1" applyBorder="1" applyAlignment="1">
      <alignment horizontal="center" vertical="center" wrapText="1"/>
    </xf>
    <xf numFmtId="175" fontId="73" fillId="0" borderId="1" xfId="0" applyNumberFormat="1" applyFont="1" applyBorder="1" applyAlignment="1">
      <alignment horizontal="center" vertical="center" wrapText="1"/>
    </xf>
    <xf numFmtId="175" fontId="57" fillId="0" borderId="1" xfId="0" applyNumberFormat="1" applyFont="1" applyBorder="1" applyAlignment="1">
      <alignment horizontal="center" vertical="center" wrapText="1"/>
    </xf>
    <xf numFmtId="175" fontId="91" fillId="0" borderId="1" xfId="0" applyNumberFormat="1" applyFont="1" applyBorder="1" applyAlignment="1">
      <alignment horizontal="center" vertical="center" wrapText="1"/>
    </xf>
    <xf numFmtId="175" fontId="53" fillId="0" borderId="1" xfId="0" applyNumberFormat="1" applyFont="1" applyBorder="1" applyAlignment="1">
      <alignment horizontal="center" vertical="center" wrapText="1"/>
    </xf>
    <xf numFmtId="175" fontId="90" fillId="0" borderId="1" xfId="0" applyNumberFormat="1" applyFont="1" applyBorder="1" applyAlignment="1">
      <alignment horizontal="center" vertical="center" wrapText="1"/>
    </xf>
    <xf numFmtId="175" fontId="60" fillId="0" borderId="1" xfId="0" applyNumberFormat="1" applyFont="1" applyBorder="1" applyAlignment="1">
      <alignment horizontal="center" vertical="center" wrapText="1"/>
    </xf>
    <xf numFmtId="175" fontId="81" fillId="0" borderId="1" xfId="0" applyNumberFormat="1" applyFont="1" applyBorder="1" applyAlignment="1">
      <alignment horizontal="center" vertical="center" wrapText="1"/>
    </xf>
    <xf numFmtId="175" fontId="26" fillId="5" borderId="55" xfId="0" applyNumberFormat="1" applyFont="1" applyFill="1" applyBorder="1" applyAlignment="1">
      <alignment horizontal="center" vertical="center" wrapText="1"/>
    </xf>
    <xf numFmtId="175" fontId="60" fillId="0" borderId="72" xfId="0" applyNumberFormat="1" applyFont="1" applyBorder="1" applyAlignment="1">
      <alignment horizontal="center" vertical="center" wrapText="1"/>
    </xf>
    <xf numFmtId="175" fontId="29" fillId="0" borderId="58" xfId="0" applyNumberFormat="1" applyFont="1" applyBorder="1" applyAlignment="1">
      <alignment horizontal="center" vertical="center" wrapText="1"/>
    </xf>
    <xf numFmtId="175" fontId="60" fillId="0" borderId="48" xfId="0" applyNumberFormat="1" applyFont="1" applyBorder="1" applyAlignment="1">
      <alignment horizontal="center" vertical="center" wrapText="1"/>
    </xf>
    <xf numFmtId="175" fontId="29" fillId="0" borderId="1" xfId="0" applyNumberFormat="1" applyFont="1" applyBorder="1" applyAlignment="1">
      <alignment horizontal="center" vertical="center" wrapText="1"/>
    </xf>
    <xf numFmtId="175" fontId="42" fillId="6" borderId="47" xfId="0" applyNumberFormat="1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175" fontId="35" fillId="5" borderId="13" xfId="0" applyNumberFormat="1" applyFont="1" applyFill="1" applyBorder="1" applyAlignment="1">
      <alignment horizontal="center" vertical="center" wrapText="1"/>
    </xf>
    <xf numFmtId="175" fontId="60" fillId="0" borderId="48" xfId="0" applyNumberFormat="1" applyFont="1" applyFill="1" applyBorder="1" applyAlignment="1">
      <alignment horizontal="center" vertical="center" wrapText="1"/>
    </xf>
    <xf numFmtId="175" fontId="57" fillId="0" borderId="1" xfId="0" applyNumberFormat="1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175" fontId="57" fillId="0" borderId="58" xfId="0" applyNumberFormat="1" applyFont="1" applyBorder="1" applyAlignment="1">
      <alignment horizontal="center" vertical="center" wrapText="1"/>
    </xf>
    <xf numFmtId="175" fontId="57" fillId="0" borderId="28" xfId="0" applyNumberFormat="1" applyFont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175" fontId="26" fillId="3" borderId="13" xfId="0" applyNumberFormat="1" applyFont="1" applyFill="1" applyBorder="1" applyAlignment="1">
      <alignment horizontal="center" vertical="center" wrapText="1"/>
    </xf>
    <xf numFmtId="175" fontId="35" fillId="0" borderId="1" xfId="0" applyNumberFormat="1" applyFont="1" applyFill="1" applyBorder="1" applyAlignment="1">
      <alignment horizontal="center" vertical="center" wrapText="1"/>
    </xf>
    <xf numFmtId="175" fontId="60" fillId="0" borderId="1" xfId="0" applyNumberFormat="1" applyFont="1" applyFill="1" applyBorder="1" applyAlignment="1">
      <alignment horizontal="center" vertical="center" wrapText="1"/>
    </xf>
    <xf numFmtId="175" fontId="64" fillId="0" borderId="1" xfId="0" applyNumberFormat="1" applyFont="1" applyFill="1" applyBorder="1" applyAlignment="1">
      <alignment horizontal="center" vertical="center" wrapText="1"/>
    </xf>
    <xf numFmtId="175" fontId="35" fillId="5" borderId="1" xfId="0" applyNumberFormat="1" applyFont="1" applyFill="1" applyBorder="1" applyAlignment="1">
      <alignment horizontal="center" vertical="center" wrapText="1"/>
    </xf>
    <xf numFmtId="175" fontId="35" fillId="6" borderId="1" xfId="0" applyNumberFormat="1" applyFont="1" applyFill="1" applyBorder="1" applyAlignment="1">
      <alignment horizontal="center" vertical="center" wrapText="1"/>
    </xf>
    <xf numFmtId="175" fontId="88" fillId="6" borderId="1" xfId="0" applyNumberFormat="1" applyFont="1" applyFill="1" applyBorder="1" applyAlignment="1">
      <alignment horizontal="center" vertical="center" wrapText="1"/>
    </xf>
    <xf numFmtId="175" fontId="65" fillId="0" borderId="1" xfId="0" applyNumberFormat="1" applyFont="1" applyFill="1" applyBorder="1" applyAlignment="1">
      <alignment horizontal="center" vertical="center" wrapText="1"/>
    </xf>
    <xf numFmtId="175" fontId="65" fillId="0" borderId="28" xfId="0" applyNumberFormat="1" applyFont="1" applyFill="1" applyBorder="1" applyAlignment="1">
      <alignment horizontal="center" vertical="center" wrapText="1"/>
    </xf>
    <xf numFmtId="49" fontId="96" fillId="0" borderId="0" xfId="0" applyNumberFormat="1" applyFont="1" applyAlignment="1">
      <alignment horizontal="right"/>
    </xf>
    <xf numFmtId="0" fontId="87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87" fillId="19" borderId="2" xfId="0" applyNumberFormat="1" applyFont="1" applyFill="1" applyBorder="1" applyAlignment="1" applyProtection="1">
      <alignment wrapText="1" readingOrder="1"/>
      <protection locked="0"/>
    </xf>
    <xf numFmtId="0" fontId="97" fillId="0" borderId="0" xfId="0" applyFont="1"/>
    <xf numFmtId="0" fontId="48" fillId="19" borderId="2" xfId="0" applyNumberFormat="1" applyFont="1" applyFill="1" applyBorder="1" applyAlignment="1" applyProtection="1">
      <alignment wrapText="1" readingOrder="1"/>
      <protection locked="0"/>
    </xf>
    <xf numFmtId="0" fontId="87" fillId="19" borderId="2" xfId="0" applyNumberFormat="1" applyFont="1" applyFill="1" applyBorder="1" applyAlignment="1" applyProtection="1">
      <alignment horizontal="center" vertical="center"/>
      <protection locked="0"/>
    </xf>
    <xf numFmtId="49" fontId="87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11" fillId="19" borderId="2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35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center" vertical="center"/>
    </xf>
    <xf numFmtId="0" fontId="2" fillId="14" borderId="7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7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6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8" xfId="0" applyNumberFormat="1" applyFont="1" applyBorder="1" applyAlignment="1" applyProtection="1">
      <alignment horizontal="center" vertical="center" wrapText="1"/>
      <protection locked="0"/>
    </xf>
    <xf numFmtId="0" fontId="11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68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NumberFormat="1" applyFont="1" applyFill="1" applyBorder="1" applyProtection="1">
      <protection locked="0"/>
    </xf>
    <xf numFmtId="0" fontId="18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48" fillId="19" borderId="2" xfId="0" applyNumberFormat="1" applyFont="1" applyFill="1" applyBorder="1" applyAlignment="1" applyProtection="1">
      <alignment vertical="center" wrapText="1"/>
      <protection locked="0"/>
    </xf>
    <xf numFmtId="0" fontId="48" fillId="19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87" fillId="19" borderId="2" xfId="0" applyNumberFormat="1" applyFont="1" applyFill="1" applyBorder="1" applyAlignment="1" applyProtection="1">
      <alignment vertical="center" wrapText="1"/>
      <protection locked="0"/>
    </xf>
    <xf numFmtId="49" fontId="48" fillId="19" borderId="2" xfId="0" applyNumberFormat="1" applyFont="1" applyFill="1" applyBorder="1" applyAlignment="1" applyProtection="1">
      <alignment wrapText="1" readingOrder="1"/>
      <protection locked="0"/>
    </xf>
    <xf numFmtId="0" fontId="111" fillId="19" borderId="2" xfId="0" applyNumberFormat="1" applyFont="1" applyFill="1" applyBorder="1" applyAlignment="1" applyProtection="1">
      <alignment wrapText="1" readingOrder="1"/>
      <protection locked="0"/>
    </xf>
    <xf numFmtId="0" fontId="111" fillId="19" borderId="2" xfId="0" applyNumberFormat="1" applyFont="1" applyFill="1" applyBorder="1" applyAlignment="1" applyProtection="1">
      <alignment vertical="center" wrapText="1"/>
      <protection locked="0"/>
    </xf>
    <xf numFmtId="49" fontId="48" fillId="0" borderId="2" xfId="0" applyNumberFormat="1" applyFont="1" applyBorder="1" applyAlignment="1">
      <alignment horizontal="center" vertical="center" wrapText="1"/>
    </xf>
    <xf numFmtId="173" fontId="18" fillId="0" borderId="5" xfId="0" applyNumberFormat="1" applyFont="1" applyBorder="1" applyAlignment="1">
      <alignment horizontal="center" vertical="center"/>
    </xf>
    <xf numFmtId="173" fontId="18" fillId="0" borderId="2" xfId="0" applyNumberFormat="1" applyFont="1" applyBorder="1" applyAlignment="1">
      <alignment horizontal="center" vertical="center"/>
    </xf>
    <xf numFmtId="173" fontId="18" fillId="0" borderId="19" xfId="0" applyNumberFormat="1" applyFont="1" applyBorder="1" applyAlignment="1">
      <alignment horizontal="center" vertical="center"/>
    </xf>
    <xf numFmtId="49" fontId="112" fillId="0" borderId="5" xfId="0" applyNumberFormat="1" applyFont="1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175" fontId="98" fillId="0" borderId="58" xfId="0" applyNumberFormat="1" applyFont="1" applyBorder="1" applyAlignment="1">
      <alignment horizontal="center" vertical="center" wrapText="1"/>
    </xf>
    <xf numFmtId="175" fontId="99" fillId="0" borderId="1" xfId="0" applyNumberFormat="1" applyFont="1" applyBorder="1" applyAlignment="1">
      <alignment horizontal="center" vertical="center" wrapText="1"/>
    </xf>
    <xf numFmtId="175" fontId="99" fillId="0" borderId="47" xfId="0" applyNumberFormat="1" applyFont="1" applyBorder="1" applyAlignment="1">
      <alignment horizontal="center" vertical="center" wrapText="1"/>
    </xf>
    <xf numFmtId="175" fontId="99" fillId="0" borderId="5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6" xfId="0" applyNumberFormat="1" applyFont="1" applyBorder="1" applyAlignment="1">
      <alignment horizontal="center" vertical="center" wrapText="1"/>
    </xf>
    <xf numFmtId="0" fontId="37" fillId="0" borderId="2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0" borderId="5" xfId="0" applyFont="1" applyBorder="1" applyAlignment="1">
      <alignment vertical="center" wrapText="1"/>
    </xf>
    <xf numFmtId="0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76" fillId="0" borderId="5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4" fillId="0" borderId="1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 wrapText="1"/>
    </xf>
    <xf numFmtId="0" fontId="115" fillId="0" borderId="59" xfId="0" applyFont="1" applyBorder="1" applyAlignment="1">
      <alignment horizontal="center" vertical="center" wrapText="1"/>
    </xf>
    <xf numFmtId="173" fontId="79" fillId="0" borderId="2" xfId="0" applyNumberFormat="1" applyFont="1" applyBorder="1" applyAlignment="1">
      <alignment horizontal="center" vertical="center" wrapText="1"/>
    </xf>
    <xf numFmtId="49" fontId="16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2" xfId="0" applyNumberFormat="1" applyFont="1" applyFill="1" applyBorder="1" applyAlignment="1" applyProtection="1">
      <alignment horizontal="center" vertical="center" wrapText="1"/>
      <protection locked="0"/>
    </xf>
    <xf numFmtId="175" fontId="9" fillId="19" borderId="1" xfId="0" applyNumberFormat="1" applyFont="1" applyFill="1" applyBorder="1" applyAlignment="1" applyProtection="1">
      <alignment horizontal="center" vertical="center"/>
      <protection locked="0"/>
    </xf>
    <xf numFmtId="0" fontId="13" fillId="19" borderId="2" xfId="0" applyNumberFormat="1" applyFont="1" applyFill="1" applyBorder="1" applyAlignment="1" applyProtection="1">
      <alignment horizontal="center" vertical="center" wrapText="1"/>
      <protection locked="0"/>
    </xf>
    <xf numFmtId="175" fontId="11" fillId="19" borderId="1" xfId="0" applyNumberFormat="1" applyFont="1" applyFill="1" applyBorder="1" applyAlignment="1" applyProtection="1">
      <alignment horizontal="center" vertical="center"/>
      <protection locked="0"/>
    </xf>
    <xf numFmtId="0" fontId="9" fillId="19" borderId="2" xfId="0" applyNumberFormat="1" applyFont="1" applyFill="1" applyBorder="1" applyAlignment="1" applyProtection="1">
      <alignment horizontal="center" vertical="center"/>
      <protection locked="0"/>
    </xf>
    <xf numFmtId="49" fontId="9" fillId="19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2" xfId="0" applyNumberFormat="1" applyFont="1" applyFill="1" applyBorder="1" applyAlignment="1" applyProtection="1">
      <alignment horizontal="center" vertical="center" wrapText="1"/>
      <protection locked="0"/>
    </xf>
    <xf numFmtId="49" fontId="39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2" xfId="0" applyNumberFormat="1" applyFont="1" applyFill="1" applyBorder="1" applyAlignment="1" applyProtection="1">
      <alignment horizontal="center" vertical="center"/>
      <protection locked="0"/>
    </xf>
    <xf numFmtId="0" fontId="39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71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71" fillId="21" borderId="2" xfId="0" applyNumberFormat="1" applyFont="1" applyFill="1" applyBorder="1" applyAlignment="1" applyProtection="1">
      <alignment horizontal="center" vertical="center" wrapText="1"/>
      <protection locked="0"/>
    </xf>
    <xf numFmtId="175" fontId="71" fillId="21" borderId="1" xfId="0" applyNumberFormat="1" applyFont="1" applyFill="1" applyBorder="1" applyAlignment="1" applyProtection="1">
      <alignment horizontal="center" vertical="center"/>
      <protection locked="0"/>
    </xf>
    <xf numFmtId="175" fontId="39" fillId="21" borderId="1" xfId="0" applyNumberFormat="1" applyFont="1" applyFill="1" applyBorder="1" applyAlignment="1" applyProtection="1">
      <alignment horizontal="center" vertical="center"/>
      <protection locked="0"/>
    </xf>
    <xf numFmtId="49" fontId="18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2" xfId="0" applyNumberFormat="1" applyFont="1" applyFill="1" applyBorder="1" applyAlignment="1" applyProtection="1">
      <alignment horizontal="center" vertical="center"/>
      <protection locked="0"/>
    </xf>
    <xf numFmtId="49" fontId="11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6" xfId="0" applyNumberFormat="1" applyFont="1" applyFill="1" applyBorder="1" applyAlignment="1">
      <alignment horizontal="center" vertical="center" wrapText="1"/>
    </xf>
    <xf numFmtId="49" fontId="11" fillId="19" borderId="14" xfId="0" applyNumberFormat="1" applyFont="1" applyFill="1" applyBorder="1" applyAlignment="1">
      <alignment horizontal="center" vertical="center" wrapText="1"/>
    </xf>
    <xf numFmtId="0" fontId="79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1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0" fontId="13" fillId="21" borderId="2" xfId="0" applyNumberFormat="1" applyFont="1" applyFill="1" applyBorder="1" applyAlignment="1" applyProtection="1">
      <alignment horizontal="center" vertical="center" wrapText="1"/>
      <protection locked="0"/>
    </xf>
    <xf numFmtId="175" fontId="9" fillId="21" borderId="1" xfId="0" applyNumberFormat="1" applyFont="1" applyFill="1" applyBorder="1" applyAlignment="1" applyProtection="1">
      <alignment horizontal="center" vertical="center"/>
      <protection locked="0"/>
    </xf>
    <xf numFmtId="175" fontId="11" fillId="21" borderId="1" xfId="0" applyNumberFormat="1" applyFont="1" applyFill="1" applyBorder="1" applyAlignment="1" applyProtection="1">
      <alignment horizontal="center" vertical="center"/>
      <protection locked="0"/>
    </xf>
    <xf numFmtId="49" fontId="13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21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21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6" xfId="0" applyNumberFormat="1" applyFont="1" applyFill="1" applyBorder="1" applyAlignment="1" applyProtection="1">
      <alignment horizontal="center" vertical="center"/>
      <protection locked="0"/>
    </xf>
    <xf numFmtId="49" fontId="18" fillId="19" borderId="16" xfId="0" applyNumberFormat="1" applyFont="1" applyFill="1" applyBorder="1" applyAlignment="1" applyProtection="1">
      <alignment horizontal="center" vertical="center"/>
      <protection locked="0"/>
    </xf>
    <xf numFmtId="49" fontId="9" fillId="21" borderId="16" xfId="0" applyNumberFormat="1" applyFont="1" applyFill="1" applyBorder="1" applyAlignment="1" applyProtection="1">
      <alignment horizontal="center" vertical="center"/>
      <protection locked="0"/>
    </xf>
    <xf numFmtId="49" fontId="9" fillId="19" borderId="16" xfId="0" applyNumberFormat="1" applyFont="1" applyFill="1" applyBorder="1" applyAlignment="1" applyProtection="1">
      <alignment horizontal="center" vertical="center"/>
      <protection locked="0"/>
    </xf>
    <xf numFmtId="49" fontId="13" fillId="19" borderId="16" xfId="0" applyNumberFormat="1" applyFont="1" applyFill="1" applyBorder="1" applyAlignment="1" applyProtection="1">
      <alignment horizontal="center" vertical="center"/>
      <protection locked="0"/>
    </xf>
    <xf numFmtId="49" fontId="8" fillId="19" borderId="46" xfId="0" applyNumberFormat="1" applyFont="1" applyFill="1" applyBorder="1" applyAlignment="1" applyProtection="1">
      <alignment horizontal="center" vertical="center"/>
      <protection locked="0"/>
    </xf>
    <xf numFmtId="49" fontId="18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71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52" xfId="0" applyNumberFormat="1" applyFont="1" applyFill="1" applyBorder="1" applyAlignment="1" applyProtection="1">
      <alignment horizontal="center" vertical="center" wrapText="1"/>
      <protection locked="0"/>
    </xf>
    <xf numFmtId="49" fontId="18" fillId="19" borderId="1" xfId="0" applyNumberFormat="1" applyFont="1" applyFill="1" applyBorder="1" applyAlignment="1" applyProtection="1">
      <alignment horizontal="left" vertical="center" wrapText="1" readingOrder="1"/>
      <protection locked="0"/>
    </xf>
    <xf numFmtId="49" fontId="9" fillId="19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19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21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19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19" borderId="1" xfId="0" applyNumberFormat="1" applyFont="1" applyFill="1" applyBorder="1" applyAlignment="1" applyProtection="1">
      <alignment wrapText="1" readingOrder="1"/>
      <protection locked="0"/>
    </xf>
    <xf numFmtId="0" fontId="18" fillId="19" borderId="1" xfId="0" applyNumberFormat="1" applyFont="1" applyFill="1" applyBorder="1" applyAlignment="1" applyProtection="1">
      <alignment wrapText="1" readingOrder="1"/>
      <protection locked="0"/>
    </xf>
    <xf numFmtId="0" fontId="11" fillId="21" borderId="1" xfId="0" applyNumberFormat="1" applyFont="1" applyFill="1" applyBorder="1" applyAlignment="1" applyProtection="1">
      <alignment vertical="center" wrapText="1"/>
      <protection locked="0"/>
    </xf>
    <xf numFmtId="0" fontId="9" fillId="21" borderId="1" xfId="0" applyNumberFormat="1" applyFont="1" applyFill="1" applyBorder="1" applyAlignment="1" applyProtection="1">
      <alignment vertical="center" wrapText="1" readingOrder="1"/>
      <protection locked="0"/>
    </xf>
    <xf numFmtId="0" fontId="11" fillId="19" borderId="1" xfId="0" applyNumberFormat="1" applyFont="1" applyFill="1" applyBorder="1" applyAlignment="1" applyProtection="1">
      <alignment vertical="center" wrapText="1"/>
      <protection locked="0"/>
    </xf>
    <xf numFmtId="0" fontId="9" fillId="21" borderId="1" xfId="0" applyNumberFormat="1" applyFont="1" applyFill="1" applyBorder="1" applyAlignment="1" applyProtection="1">
      <alignment vertical="center" wrapText="1"/>
      <protection locked="0"/>
    </xf>
    <xf numFmtId="0" fontId="18" fillId="19" borderId="1" xfId="0" applyNumberFormat="1" applyFont="1" applyFill="1" applyBorder="1" applyAlignment="1" applyProtection="1">
      <alignment vertical="center" wrapText="1"/>
      <protection locked="0"/>
    </xf>
    <xf numFmtId="0" fontId="9" fillId="21" borderId="1" xfId="0" applyNumberFormat="1" applyFont="1" applyFill="1" applyBorder="1" applyAlignment="1" applyProtection="1">
      <alignment wrapText="1" readingOrder="1"/>
      <protection locked="0"/>
    </xf>
    <xf numFmtId="0" fontId="9" fillId="21" borderId="1" xfId="0" applyNumberFormat="1" applyFont="1" applyFill="1" applyBorder="1" applyAlignment="1" applyProtection="1">
      <alignment horizontal="left" vertical="center" wrapText="1"/>
      <protection locked="0"/>
    </xf>
    <xf numFmtId="0" fontId="9" fillId="19" borderId="1" xfId="0" applyNumberFormat="1" applyFont="1" applyFill="1" applyBorder="1" applyAlignment="1" applyProtection="1">
      <alignment vertical="center" wrapText="1"/>
      <protection locked="0"/>
    </xf>
    <xf numFmtId="0" fontId="11" fillId="21" borderId="1" xfId="0" applyNumberFormat="1" applyFont="1" applyFill="1" applyBorder="1" applyAlignment="1" applyProtection="1">
      <alignment wrapText="1" readingOrder="1"/>
      <protection locked="0"/>
    </xf>
    <xf numFmtId="0" fontId="9" fillId="19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1" borderId="1" xfId="0" applyNumberFormat="1" applyFont="1" applyFill="1" applyBorder="1" applyAlignment="1" applyProtection="1">
      <alignment horizontal="left" wrapText="1" readingOrder="1"/>
      <protection locked="0"/>
    </xf>
    <xf numFmtId="0" fontId="18" fillId="19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19" borderId="1" xfId="0" applyNumberFormat="1" applyFont="1" applyFill="1" applyBorder="1" applyAlignment="1" applyProtection="1">
      <alignment horizontal="left" wrapText="1" readingOrder="1"/>
      <protection locked="0"/>
    </xf>
    <xf numFmtId="0" fontId="8" fillId="19" borderId="28" xfId="0" applyNumberFormat="1" applyFont="1" applyFill="1" applyBorder="1" applyAlignment="1" applyProtection="1">
      <alignment horizontal="left" vertical="center" wrapText="1" readingOrder="1"/>
      <protection locked="0"/>
    </xf>
    <xf numFmtId="49" fontId="18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1" xfId="0" applyNumberFormat="1" applyFont="1" applyFill="1" applyBorder="1" applyAlignment="1" applyProtection="1">
      <alignment horizontal="center" vertical="center"/>
      <protection locked="0"/>
    </xf>
    <xf numFmtId="0" fontId="9" fillId="21" borderId="11" xfId="0" applyNumberFormat="1" applyFont="1" applyFill="1" applyBorder="1" applyAlignment="1" applyProtection="1">
      <alignment horizontal="center" vertical="center"/>
      <protection locked="0"/>
    </xf>
    <xf numFmtId="0" fontId="9" fillId="19" borderId="11" xfId="0" applyNumberFormat="1" applyFont="1" applyFill="1" applyBorder="1" applyProtection="1">
      <protection locked="0"/>
    </xf>
    <xf numFmtId="0" fontId="11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21" borderId="11" xfId="0" applyNumberFormat="1" applyFont="1" applyFill="1" applyBorder="1" applyAlignment="1" applyProtection="1">
      <alignment horizontal="center" vertical="center" wrapText="1"/>
      <protection locked="0"/>
    </xf>
    <xf numFmtId="0" fontId="79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11" xfId="0" applyNumberFormat="1" applyFont="1" applyFill="1" applyBorder="1" applyAlignment="1" applyProtection="1">
      <alignment horizontal="center" vertical="center"/>
      <protection locked="0"/>
    </xf>
    <xf numFmtId="0" fontId="76" fillId="19" borderId="69" xfId="0" applyNumberFormat="1" applyFont="1" applyFill="1" applyBorder="1" applyAlignment="1" applyProtection="1">
      <alignment horizontal="center" vertical="center" wrapText="1"/>
      <protection locked="0"/>
    </xf>
    <xf numFmtId="175" fontId="8" fillId="19" borderId="28" xfId="0" applyNumberFormat="1" applyFont="1" applyFill="1" applyBorder="1" applyAlignment="1" applyProtection="1">
      <alignment horizontal="center" vertical="center"/>
      <protection locked="0"/>
    </xf>
    <xf numFmtId="0" fontId="9" fillId="21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19" borderId="1" xfId="0" applyNumberFormat="1" applyFont="1" applyFill="1" applyBorder="1" applyAlignment="1" applyProtection="1">
      <alignment vertical="center" wrapText="1" readingOrder="1"/>
      <protection locked="0"/>
    </xf>
    <xf numFmtId="0" fontId="100" fillId="19" borderId="1" xfId="0" applyNumberFormat="1" applyFont="1" applyFill="1" applyBorder="1" applyAlignment="1" applyProtection="1">
      <alignment vertical="center" wrapText="1"/>
      <protection locked="0"/>
    </xf>
    <xf numFmtId="0" fontId="11" fillId="19" borderId="1" xfId="0" applyNumberFormat="1" applyFont="1" applyFill="1" applyBorder="1" applyAlignment="1" applyProtection="1">
      <alignment vertical="center" wrapText="1" readingOrder="1"/>
      <protection locked="0"/>
    </xf>
    <xf numFmtId="0" fontId="11" fillId="19" borderId="18" xfId="0" applyFont="1" applyFill="1" applyBorder="1" applyAlignment="1">
      <alignment horizontal="center" vertical="center" wrapText="1"/>
    </xf>
    <xf numFmtId="49" fontId="18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19" borderId="48" xfId="0" applyNumberFormat="1" applyFont="1" applyFill="1" applyBorder="1" applyAlignment="1" applyProtection="1">
      <alignment horizontal="left" vertical="center" wrapText="1" readingOrder="1"/>
      <protection locked="0"/>
    </xf>
    <xf numFmtId="49" fontId="18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19" borderId="67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6" xfId="0" applyNumberFormat="1" applyFont="1" applyFill="1" applyBorder="1" applyAlignment="1">
      <alignment horizontal="center" vertical="center"/>
    </xf>
    <xf numFmtId="49" fontId="9" fillId="19" borderId="14" xfId="0" applyNumberFormat="1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center"/>
    </xf>
    <xf numFmtId="49" fontId="9" fillId="21" borderId="1" xfId="0" applyNumberFormat="1" applyFont="1" applyFill="1" applyBorder="1" applyAlignment="1" applyProtection="1">
      <alignment horizontal="left" vertical="center" wrapText="1" readingOrder="1"/>
      <protection locked="0"/>
    </xf>
    <xf numFmtId="49" fontId="11" fillId="21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vertical="center" wrapText="1"/>
    </xf>
    <xf numFmtId="173" fontId="13" fillId="0" borderId="3" xfId="0" applyNumberFormat="1" applyFont="1" applyBorder="1" applyAlignment="1">
      <alignment horizontal="center"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173" fontId="13" fillId="0" borderId="21" xfId="0" applyNumberFormat="1" applyFont="1" applyBorder="1" applyAlignment="1">
      <alignment horizontal="center" vertical="center" wrapText="1"/>
    </xf>
    <xf numFmtId="173" fontId="13" fillId="0" borderId="24" xfId="0" applyNumberFormat="1" applyFont="1" applyBorder="1" applyAlignment="1">
      <alignment horizontal="center" vertical="center" wrapText="1"/>
    </xf>
    <xf numFmtId="173" fontId="13" fillId="0" borderId="22" xfId="0" applyNumberFormat="1" applyFont="1" applyBorder="1" applyAlignment="1">
      <alignment horizontal="center" vertical="center" wrapText="1"/>
    </xf>
    <xf numFmtId="173" fontId="18" fillId="0" borderId="19" xfId="0" applyNumberFormat="1" applyFont="1" applyBorder="1" applyAlignment="1">
      <alignment horizontal="center" vertical="center" wrapText="1"/>
    </xf>
    <xf numFmtId="173" fontId="79" fillId="0" borderId="19" xfId="0" applyNumberFormat="1" applyFont="1" applyBorder="1" applyAlignment="1">
      <alignment horizontal="center" vertical="center" wrapText="1"/>
    </xf>
    <xf numFmtId="173" fontId="13" fillId="0" borderId="20" xfId="0" applyNumberFormat="1" applyFont="1" applyBorder="1" applyAlignment="1">
      <alignment horizontal="center" vertical="center" wrapText="1"/>
    </xf>
    <xf numFmtId="49" fontId="5" fillId="8" borderId="40" xfId="0" applyNumberFormat="1" applyFont="1" applyFill="1" applyBorder="1" applyAlignment="1">
      <alignment horizontal="center" vertical="center" wrapText="1"/>
    </xf>
    <xf numFmtId="0" fontId="86" fillId="19" borderId="58" xfId="0" applyNumberFormat="1" applyFont="1" applyFill="1" applyBorder="1" applyAlignment="1" applyProtection="1">
      <alignment horizontal="center" vertical="center"/>
      <protection locked="0"/>
    </xf>
    <xf numFmtId="0" fontId="86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86" fillId="19" borderId="1" xfId="0" applyNumberFormat="1" applyFont="1" applyFill="1" applyBorder="1" applyAlignment="1" applyProtection="1">
      <alignment horizontal="center" vertical="center"/>
      <protection locked="0"/>
    </xf>
    <xf numFmtId="0" fontId="86" fillId="19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left" wrapText="1" readingOrder="1"/>
      <protection locked="0"/>
    </xf>
    <xf numFmtId="0" fontId="11" fillId="0" borderId="49" xfId="0" applyNumberFormat="1" applyFont="1" applyBorder="1" applyAlignment="1" applyProtection="1">
      <alignment horizontal="center" vertical="center" wrapText="1"/>
      <protection locked="0"/>
    </xf>
    <xf numFmtId="0" fontId="11" fillId="0" borderId="61" xfId="0" applyNumberFormat="1" applyFont="1" applyBorder="1" applyAlignment="1" applyProtection="1">
      <alignment horizontal="center" vertical="center" wrapText="1"/>
      <protection locked="0"/>
    </xf>
    <xf numFmtId="0" fontId="11" fillId="0" borderId="50" xfId="0" applyNumberFormat="1" applyFont="1" applyBorder="1" applyAlignment="1" applyProtection="1">
      <alignment horizontal="center" vertical="center" wrapText="1"/>
      <protection locked="0"/>
    </xf>
    <xf numFmtId="0" fontId="11" fillId="0" borderId="65" xfId="0" applyNumberFormat="1" applyFont="1" applyFill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18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Protection="1">
      <protection locked="0"/>
    </xf>
    <xf numFmtId="0" fontId="39" fillId="0" borderId="2" xfId="0" applyNumberFormat="1" applyFont="1" applyBorder="1" applyAlignment="1" applyProtection="1">
      <alignment horizontal="center" vertical="center" wrapText="1"/>
      <protection locked="0"/>
    </xf>
    <xf numFmtId="0" fontId="6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4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2" xfId="0" applyNumberFormat="1" applyFont="1" applyFill="1" applyBorder="1" applyAlignment="1" applyProtection="1">
      <alignment horizontal="center" vertical="center"/>
      <protection locked="0"/>
    </xf>
    <xf numFmtId="0" fontId="7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18" borderId="2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6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86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49" fontId="77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18" borderId="16" xfId="0" applyNumberFormat="1" applyFont="1" applyFill="1" applyBorder="1" applyAlignment="1" applyProtection="1">
      <alignment horizontal="center" vertical="center"/>
      <protection locked="0"/>
    </xf>
    <xf numFmtId="49" fontId="2" fillId="14" borderId="16" xfId="0" applyNumberFormat="1" applyFont="1" applyFill="1" applyBorder="1" applyAlignment="1" applyProtection="1">
      <alignment horizontal="center" vertical="center"/>
      <protection locked="0"/>
    </xf>
    <xf numFmtId="49" fontId="19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12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14" borderId="16" xfId="0" applyNumberFormat="1" applyFont="1" applyFill="1" applyBorder="1" applyAlignment="1" applyProtection="1">
      <alignment horizontal="center" vertical="center"/>
      <protection locked="0"/>
    </xf>
    <xf numFmtId="49" fontId="8" fillId="18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66" xfId="0" applyNumberFormat="1" applyFont="1" applyBorder="1" applyAlignment="1">
      <alignment horizontal="center" vertical="center" wrapText="1"/>
    </xf>
    <xf numFmtId="0" fontId="86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8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wrapText="1" readingOrder="1"/>
      <protection locked="0"/>
    </xf>
    <xf numFmtId="0" fontId="86" fillId="19" borderId="1" xfId="0" applyNumberFormat="1" applyFont="1" applyFill="1" applyBorder="1" applyAlignment="1" applyProtection="1">
      <alignment wrapText="1" readingOrder="1"/>
      <protection locked="0"/>
    </xf>
    <xf numFmtId="0" fontId="2" fillId="18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14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wrapText="1" readingOrder="1"/>
      <protection locked="0"/>
    </xf>
    <xf numFmtId="0" fontId="12" fillId="0" borderId="1" xfId="0" applyNumberFormat="1" applyFont="1" applyFill="1" applyBorder="1" applyAlignment="1" applyProtection="1">
      <alignment wrapText="1" readingOrder="1"/>
      <protection locked="0"/>
    </xf>
    <xf numFmtId="0" fontId="13" fillId="0" borderId="1" xfId="0" applyNumberFormat="1" applyFont="1" applyFill="1" applyBorder="1" applyAlignment="1" applyProtection="1">
      <alignment wrapText="1" readingOrder="1"/>
      <protection locked="0"/>
    </xf>
    <xf numFmtId="0" fontId="2" fillId="0" borderId="1" xfId="0" applyNumberFormat="1" applyFont="1" applyFill="1" applyBorder="1" applyAlignment="1" applyProtection="1">
      <alignment wrapText="1" readingOrder="1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77" fillId="0" borderId="1" xfId="0" applyNumberFormat="1" applyFont="1" applyBorder="1" applyAlignment="1" applyProtection="1">
      <alignment vertical="center" wrapText="1"/>
      <protection locked="0"/>
    </xf>
    <xf numFmtId="0" fontId="19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NumberFormat="1" applyFont="1" applyBorder="1" applyAlignment="1" applyProtection="1">
      <alignment vertical="center" wrapText="1"/>
      <protection locked="0"/>
    </xf>
    <xf numFmtId="0" fontId="19" fillId="0" borderId="1" xfId="0" applyNumberFormat="1" applyFont="1" applyFill="1" applyBorder="1" applyAlignment="1" applyProtection="1">
      <alignment wrapText="1" readingOrder="1"/>
      <protection locked="0"/>
    </xf>
    <xf numFmtId="0" fontId="15" fillId="0" borderId="1" xfId="0" applyNumberFormat="1" applyFont="1" applyFill="1" applyBorder="1" applyAlignment="1" applyProtection="1">
      <alignment wrapText="1" readingOrder="1"/>
      <protection locked="0"/>
    </xf>
    <xf numFmtId="0" fontId="8" fillId="22" borderId="1" xfId="0" applyFont="1" applyFill="1" applyBorder="1" applyAlignment="1">
      <alignment vertical="center" wrapText="1"/>
    </xf>
    <xf numFmtId="0" fontId="77" fillId="0" borderId="1" xfId="0" applyFont="1" applyBorder="1" applyAlignment="1">
      <alignment vertical="center" wrapText="1"/>
    </xf>
    <xf numFmtId="0" fontId="77" fillId="19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wrapText="1" readingOrder="1"/>
      <protection locked="0"/>
    </xf>
    <xf numFmtId="0" fontId="5" fillId="0" borderId="1" xfId="0" applyNumberFormat="1" applyFont="1" applyFill="1" applyBorder="1" applyAlignment="1" applyProtection="1">
      <alignment wrapText="1" readingOrder="1"/>
      <protection locked="0"/>
    </xf>
    <xf numFmtId="0" fontId="8" fillId="0" borderId="1" xfId="0" applyNumberFormat="1" applyFont="1" applyFill="1" applyBorder="1" applyAlignment="1" applyProtection="1">
      <alignment wrapText="1" readingOrder="1"/>
      <protection locked="0"/>
    </xf>
    <xf numFmtId="0" fontId="7" fillId="1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1" xfId="0" applyNumberFormat="1" applyFont="1" applyFill="1" applyBorder="1" applyAlignment="1" applyProtection="1">
      <alignment horizontal="left" wrapText="1" readingOrder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7" fillId="1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11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NumberFormat="1" applyFont="1" applyBorder="1" applyAlignment="1" applyProtection="1">
      <alignment vertical="center" wrapText="1"/>
      <protection locked="0"/>
    </xf>
    <xf numFmtId="0" fontId="8" fillId="18" borderId="1" xfId="0" applyNumberFormat="1" applyFont="1" applyFill="1" applyBorder="1" applyAlignment="1" applyProtection="1">
      <alignment vertical="center" wrapText="1"/>
      <protection locked="0"/>
    </xf>
    <xf numFmtId="0" fontId="11" fillId="0" borderId="28" xfId="0" applyNumberFormat="1" applyFont="1" applyBorder="1" applyAlignment="1" applyProtection="1">
      <alignment vertical="center" wrapText="1"/>
      <protection locked="0"/>
    </xf>
    <xf numFmtId="49" fontId="4" fillId="0" borderId="64" xfId="0" applyNumberFormat="1" applyFont="1" applyBorder="1" applyAlignment="1">
      <alignment horizontal="center" vertical="center" wrapText="1"/>
    </xf>
    <xf numFmtId="0" fontId="86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1" xfId="0" applyNumberFormat="1" applyFont="1" applyFill="1" applyBorder="1" applyAlignment="1" applyProtection="1">
      <alignment horizontal="center" vertical="center"/>
      <protection locked="0"/>
    </xf>
    <xf numFmtId="0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7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18" borderId="11" xfId="0" applyNumberFormat="1" applyFont="1" applyFill="1" applyBorder="1" applyAlignment="1" applyProtection="1">
      <alignment horizontal="center" vertical="center"/>
      <protection locked="0"/>
    </xf>
    <xf numFmtId="0" fontId="10" fillId="18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8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wrapText="1"/>
    </xf>
    <xf numFmtId="175" fontId="2" fillId="18" borderId="1" xfId="0" applyNumberFormat="1" applyFont="1" applyFill="1" applyBorder="1" applyAlignment="1" applyProtection="1">
      <alignment horizontal="center" vertical="center"/>
      <protection locked="0"/>
    </xf>
    <xf numFmtId="175" fontId="8" fillId="22" borderId="1" xfId="0" applyNumberFormat="1" applyFont="1" applyFill="1" applyBorder="1" applyAlignment="1" applyProtection="1">
      <alignment horizontal="center" vertical="center"/>
      <protection locked="0"/>
    </xf>
    <xf numFmtId="175" fontId="7" fillId="0" borderId="1" xfId="0" applyNumberFormat="1" applyFont="1" applyFill="1" applyBorder="1" applyAlignment="1" applyProtection="1">
      <alignment horizontal="center" vertical="center"/>
      <protection locked="0"/>
    </xf>
    <xf numFmtId="175" fontId="7" fillId="12" borderId="1" xfId="0" applyNumberFormat="1" applyFont="1" applyFill="1" applyBorder="1" applyAlignment="1" applyProtection="1">
      <alignment horizontal="center" vertical="center"/>
      <protection locked="0"/>
    </xf>
    <xf numFmtId="175" fontId="8" fillId="18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86" fillId="19" borderId="44" xfId="0" applyNumberFormat="1" applyFont="1" applyFill="1" applyBorder="1" applyAlignment="1" applyProtection="1">
      <alignment horizontal="center" vertical="center" wrapText="1"/>
      <protection locked="0"/>
    </xf>
    <xf numFmtId="0" fontId="86" fillId="19" borderId="58" xfId="0" applyNumberFormat="1" applyFont="1" applyFill="1" applyBorder="1" applyAlignment="1" applyProtection="1">
      <alignment wrapText="1" readingOrder="1"/>
      <protection locked="0"/>
    </xf>
    <xf numFmtId="0" fontId="86" fillId="19" borderId="25" xfId="0" applyNumberFormat="1" applyFont="1" applyFill="1" applyBorder="1" applyAlignment="1" applyProtection="1">
      <alignment horizontal="center" vertical="center" wrapText="1"/>
      <protection locked="0"/>
    </xf>
    <xf numFmtId="0" fontId="86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4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67" xfId="0" applyNumberFormat="1" applyFont="1" applyFill="1" applyBorder="1" applyAlignment="1" applyProtection="1">
      <alignment horizontal="center" vertical="center" wrapText="1"/>
      <protection locked="0"/>
    </xf>
    <xf numFmtId="175" fontId="2" fillId="18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58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5" fillId="2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3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3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2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3" borderId="10" xfId="0" applyNumberFormat="1" applyFont="1" applyFill="1" applyBorder="1" applyAlignment="1" applyProtection="1">
      <alignment horizontal="center" vertical="center" wrapText="1"/>
      <protection locked="0"/>
    </xf>
    <xf numFmtId="175" fontId="2" fillId="23" borderId="13" xfId="0" applyNumberFormat="1" applyFont="1" applyFill="1" applyBorder="1" applyAlignment="1" applyProtection="1">
      <alignment horizontal="center" vertical="center"/>
      <protection locked="0"/>
    </xf>
    <xf numFmtId="49" fontId="8" fillId="23" borderId="4" xfId="0" applyNumberFormat="1" applyFont="1" applyFill="1" applyBorder="1" applyAlignment="1" applyProtection="1">
      <alignment horizontal="center" vertical="center"/>
      <protection locked="0"/>
    </xf>
    <xf numFmtId="0" fontId="8" fillId="23" borderId="13" xfId="0" applyNumberFormat="1" applyFont="1" applyFill="1" applyBorder="1" applyAlignment="1" applyProtection="1">
      <alignment horizontal="center" vertical="center"/>
      <protection locked="0"/>
    </xf>
    <xf numFmtId="0" fontId="8" fillId="23" borderId="53" xfId="0" applyNumberFormat="1" applyFont="1" applyFill="1" applyBorder="1" applyAlignment="1" applyProtection="1">
      <alignment horizontal="center" vertical="center"/>
      <protection locked="0"/>
    </xf>
    <xf numFmtId="0" fontId="8" fillId="23" borderId="14" xfId="0" applyNumberFormat="1" applyFont="1" applyFill="1" applyBorder="1" applyAlignment="1" applyProtection="1">
      <alignment horizontal="center" vertical="center"/>
      <protection locked="0"/>
    </xf>
    <xf numFmtId="0" fontId="8" fillId="23" borderId="10" xfId="0" applyNumberFormat="1" applyFont="1" applyFill="1" applyBorder="1" applyAlignment="1" applyProtection="1">
      <alignment horizontal="center" vertical="center"/>
      <protection locked="0"/>
    </xf>
    <xf numFmtId="175" fontId="8" fillId="23" borderId="13" xfId="0" applyNumberFormat="1" applyFont="1" applyFill="1" applyBorder="1" applyAlignment="1" applyProtection="1">
      <alignment horizontal="center"/>
      <protection locked="0"/>
    </xf>
    <xf numFmtId="49" fontId="8" fillId="2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23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10" xfId="0" applyNumberFormat="1" applyFont="1" applyFill="1" applyBorder="1" applyAlignment="1" applyProtection="1">
      <alignment horizontal="center" vertical="center" wrapText="1"/>
      <protection locked="0"/>
    </xf>
    <xf numFmtId="175" fontId="8" fillId="23" borderId="13" xfId="0" applyNumberFormat="1" applyFont="1" applyFill="1" applyBorder="1" applyAlignment="1" applyProtection="1">
      <alignment horizontal="center" vertical="center"/>
      <protection locked="0"/>
    </xf>
    <xf numFmtId="49" fontId="8" fillId="24" borderId="15" xfId="0" applyNumberFormat="1" applyFont="1" applyFill="1" applyBorder="1" applyAlignment="1" applyProtection="1">
      <alignment horizontal="center" vertical="center"/>
      <protection locked="0"/>
    </xf>
    <xf numFmtId="0" fontId="8" fillId="24" borderId="48" xfId="0" applyNumberFormat="1" applyFont="1" applyFill="1" applyBorder="1" applyAlignment="1" applyProtection="1">
      <alignment horizontal="center" vertical="center"/>
      <protection locked="0"/>
    </xf>
    <xf numFmtId="0" fontId="8" fillId="24" borderId="26" xfId="0" applyNumberFormat="1" applyFont="1" applyFill="1" applyBorder="1" applyAlignment="1" applyProtection="1">
      <alignment horizontal="center" vertical="center"/>
      <protection locked="0"/>
    </xf>
    <xf numFmtId="0" fontId="8" fillId="24" borderId="24" xfId="0" applyNumberFormat="1" applyFont="1" applyFill="1" applyBorder="1" applyAlignment="1" applyProtection="1">
      <alignment horizontal="center" vertical="center"/>
      <protection locked="0"/>
    </xf>
    <xf numFmtId="0" fontId="8" fillId="24" borderId="67" xfId="0" applyNumberFormat="1" applyFont="1" applyFill="1" applyBorder="1" applyAlignment="1" applyProtection="1">
      <alignment horizontal="center" vertical="center"/>
      <protection locked="0"/>
    </xf>
    <xf numFmtId="175" fontId="8" fillId="24" borderId="48" xfId="0" applyNumberFormat="1" applyFont="1" applyFill="1" applyBorder="1" applyAlignment="1" applyProtection="1">
      <alignment horizontal="center"/>
      <protection locked="0"/>
    </xf>
    <xf numFmtId="49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24" borderId="1" xfId="0" applyNumberFormat="1" applyFont="1" applyFill="1" applyBorder="1" applyAlignment="1" applyProtection="1">
      <alignment wrapText="1" readingOrder="1"/>
      <protection locked="0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" xfId="0" applyFont="1" applyFill="1" applyBorder="1" applyAlignment="1">
      <alignment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75" fontId="2" fillId="24" borderId="1" xfId="0" applyNumberFormat="1" applyFont="1" applyFill="1" applyBorder="1" applyAlignment="1">
      <alignment horizontal="center" vertical="center" wrapText="1"/>
    </xf>
    <xf numFmtId="0" fontId="2" fillId="24" borderId="1" xfId="0" applyNumberFormat="1" applyFont="1" applyFill="1" applyBorder="1" applyAlignment="1" applyProtection="1">
      <alignment vertical="center" wrapText="1"/>
      <protection locked="0"/>
    </xf>
    <xf numFmtId="0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" xfId="0" applyNumberFormat="1" applyFont="1" applyFill="1" applyBorder="1" applyAlignment="1" applyProtection="1">
      <alignment horizontal="center" vertical="center"/>
      <protection locked="0"/>
    </xf>
    <xf numFmtId="0" fontId="2" fillId="24" borderId="11" xfId="0" applyNumberFormat="1" applyFont="1" applyFill="1" applyBorder="1" applyAlignment="1" applyProtection="1">
      <alignment horizontal="center" vertical="center"/>
      <protection locked="0"/>
    </xf>
    <xf numFmtId="0" fontId="10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6" xfId="0" applyNumberFormat="1" applyFont="1" applyFill="1" applyBorder="1" applyAlignment="1" applyProtection="1">
      <alignment horizontal="center" vertical="center"/>
      <protection locked="0"/>
    </xf>
    <xf numFmtId="0" fontId="6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1" xfId="0" applyNumberFormat="1" applyFont="1" applyFill="1" applyBorder="1" applyAlignment="1" applyProtection="1">
      <alignment horizontal="center" vertical="center"/>
      <protection locked="0"/>
    </xf>
    <xf numFmtId="49" fontId="8" fillId="24" borderId="16" xfId="0" applyNumberFormat="1" applyFont="1" applyFill="1" applyBorder="1" applyAlignment="1" applyProtection="1">
      <alignment horizontal="center" vertical="center"/>
      <protection locked="0"/>
    </xf>
    <xf numFmtId="0" fontId="8" fillId="24" borderId="1" xfId="0" applyNumberFormat="1" applyFont="1" applyFill="1" applyBorder="1" applyAlignment="1" applyProtection="1">
      <alignment vertical="center" wrapText="1"/>
      <protection locked="0"/>
    </xf>
    <xf numFmtId="0" fontId="8" fillId="24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1" xfId="0" applyNumberFormat="1" applyFont="1" applyFill="1" applyBorder="1" applyAlignment="1" applyProtection="1">
      <alignment horizontal="center" vertical="center"/>
      <protection locked="0"/>
    </xf>
    <xf numFmtId="175" fontId="8" fillId="24" borderId="1" xfId="0" applyNumberFormat="1" applyFont="1" applyFill="1" applyBorder="1" applyAlignment="1" applyProtection="1">
      <alignment horizontal="center" vertical="center"/>
      <protection locked="0"/>
    </xf>
    <xf numFmtId="49" fontId="19" fillId="21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1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1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21" borderId="1" xfId="0" applyNumberFormat="1" applyFont="1" applyFill="1" applyBorder="1" applyAlignment="1" applyProtection="1">
      <alignment horizontal="center" vertical="center"/>
      <protection locked="0"/>
    </xf>
    <xf numFmtId="49" fontId="19" fillId="21" borderId="16" xfId="0" applyNumberFormat="1" applyFont="1" applyFill="1" applyBorder="1" applyAlignment="1" applyProtection="1">
      <alignment horizontal="center" vertical="center"/>
      <protection locked="0"/>
    </xf>
    <xf numFmtId="0" fontId="3" fillId="21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1" borderId="2" xfId="0" applyNumberFormat="1" applyFont="1" applyFill="1" applyBorder="1" applyAlignment="1" applyProtection="1">
      <alignment horizontal="center" vertical="center" wrapText="1"/>
      <protection locked="0"/>
    </xf>
    <xf numFmtId="175" fontId="3" fillId="21" borderId="1" xfId="0" applyNumberFormat="1" applyFont="1" applyFill="1" applyBorder="1" applyAlignment="1" applyProtection="1">
      <alignment horizontal="center" vertical="center"/>
      <protection locked="0"/>
    </xf>
    <xf numFmtId="0" fontId="3" fillId="21" borderId="1" xfId="0" applyNumberFormat="1" applyFont="1" applyFill="1" applyBorder="1" applyAlignment="1" applyProtection="1">
      <alignment horizontal="left" wrapText="1" readingOrder="1"/>
      <protection locked="0"/>
    </xf>
    <xf numFmtId="0" fontId="2" fillId="21" borderId="2" xfId="0" applyNumberFormat="1" applyFont="1" applyFill="1" applyBorder="1" applyAlignment="1" applyProtection="1">
      <alignment horizontal="center" vertical="center"/>
      <protection locked="0"/>
    </xf>
    <xf numFmtId="0" fontId="2" fillId="21" borderId="11" xfId="0" applyNumberFormat="1" applyFont="1" applyFill="1" applyBorder="1" applyAlignment="1" applyProtection="1">
      <alignment horizontal="center" vertical="center"/>
      <protection locked="0"/>
    </xf>
    <xf numFmtId="49" fontId="8" fillId="24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8" fillId="2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wrapText="1" readingOrder="1"/>
      <protection locked="0"/>
    </xf>
    <xf numFmtId="0" fontId="1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1" xfId="0" applyNumberFormat="1" applyFont="1" applyFill="1" applyBorder="1" applyAlignment="1" applyProtection="1">
      <alignment wrapText="1" readingOrder="1"/>
      <protection locked="0"/>
    </xf>
    <xf numFmtId="173" fontId="2" fillId="0" borderId="47" xfId="0" applyNumberFormat="1" applyFont="1" applyBorder="1" applyAlignment="1">
      <alignment horizontal="center" vertical="center" wrapText="1"/>
    </xf>
    <xf numFmtId="0" fontId="96" fillId="0" borderId="0" xfId="0" applyFont="1" applyAlignment="1">
      <alignment horizontal="right"/>
    </xf>
    <xf numFmtId="0" fontId="46" fillId="0" borderId="19" xfId="0" applyFont="1" applyBorder="1" applyAlignment="1">
      <alignment horizontal="center" vertical="center" wrapText="1"/>
    </xf>
    <xf numFmtId="175" fontId="99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vertical="center" wrapText="1"/>
    </xf>
    <xf numFmtId="173" fontId="101" fillId="0" borderId="16" xfId="0" applyNumberFormat="1" applyFont="1" applyBorder="1" applyAlignment="1">
      <alignment horizontal="center" vertical="center" wrapText="1"/>
    </xf>
    <xf numFmtId="173" fontId="10" fillId="0" borderId="5" xfId="0" applyNumberFormat="1" applyFont="1" applyBorder="1" applyAlignment="1">
      <alignment horizontal="center" vertical="center"/>
    </xf>
    <xf numFmtId="173" fontId="10" fillId="0" borderId="2" xfId="0" applyNumberFormat="1" applyFont="1" applyBorder="1" applyAlignment="1">
      <alignment horizontal="center" vertical="center"/>
    </xf>
    <xf numFmtId="173" fontId="10" fillId="0" borderId="19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49" fontId="22" fillId="0" borderId="5" xfId="0" applyNumberFormat="1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4" fillId="3" borderId="4" xfId="0" applyNumberFormat="1" applyFont="1" applyFill="1" applyBorder="1" applyAlignment="1">
      <alignment horizontal="center" vertical="center" wrapText="1"/>
    </xf>
    <xf numFmtId="49" fontId="24" fillId="6" borderId="17" xfId="0" applyNumberFormat="1" applyFont="1" applyFill="1" applyBorder="1" applyAlignment="1">
      <alignment horizontal="center" vertical="center" wrapText="1"/>
    </xf>
    <xf numFmtId="49" fontId="22" fillId="5" borderId="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89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86" fillId="0" borderId="16" xfId="0" applyNumberFormat="1" applyFont="1" applyBorder="1" applyAlignment="1">
      <alignment horizontal="center" vertical="center" wrapText="1"/>
    </xf>
    <xf numFmtId="49" fontId="86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22" fillId="5" borderId="17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36" fillId="6" borderId="4" xfId="0" applyNumberFormat="1" applyFont="1" applyFill="1" applyBorder="1" applyAlignment="1">
      <alignment horizontal="center" vertical="center" wrapText="1"/>
    </xf>
    <xf numFmtId="49" fontId="23" fillId="5" borderId="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36" fillId="0" borderId="40" xfId="0" applyNumberFormat="1" applyFont="1" applyBorder="1" applyAlignment="1">
      <alignment horizontal="center" vertical="center" wrapText="1"/>
    </xf>
    <xf numFmtId="49" fontId="28" fillId="0" borderId="40" xfId="0" applyNumberFormat="1" applyFont="1" applyFill="1" applyBorder="1" applyAlignment="1">
      <alignment horizontal="center" vertical="center" wrapText="1"/>
    </xf>
    <xf numFmtId="49" fontId="45" fillId="3" borderId="43" xfId="0" applyNumberFormat="1" applyFont="1" applyFill="1" applyBorder="1" applyAlignment="1">
      <alignment horizontal="center" vertical="center" wrapText="1"/>
    </xf>
    <xf numFmtId="49" fontId="34" fillId="5" borderId="16" xfId="0" applyNumberFormat="1" applyFont="1" applyFill="1" applyBorder="1" applyAlignment="1">
      <alignment horizontal="center" vertical="center" wrapText="1"/>
    </xf>
    <xf numFmtId="49" fontId="22" fillId="5" borderId="16" xfId="0" applyNumberFormat="1" applyFont="1" applyFill="1" applyBorder="1" applyAlignment="1">
      <alignment horizontal="center" vertical="center" wrapText="1"/>
    </xf>
    <xf numFmtId="49" fontId="83" fillId="6" borderId="16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0" fontId="23" fillId="0" borderId="51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74" fillId="0" borderId="59" xfId="0" applyFont="1" applyBorder="1" applyAlignment="1">
      <alignment vertical="top" wrapText="1"/>
    </xf>
    <xf numFmtId="0" fontId="56" fillId="0" borderId="59" xfId="0" applyFont="1" applyBorder="1" applyAlignment="1">
      <alignment vertical="top" wrapText="1"/>
    </xf>
    <xf numFmtId="0" fontId="89" fillId="0" borderId="59" xfId="0" applyFont="1" applyBorder="1" applyAlignment="1">
      <alignment horizontal="left" vertical="top" wrapText="1"/>
    </xf>
    <xf numFmtId="0" fontId="56" fillId="0" borderId="59" xfId="0" applyFont="1" applyBorder="1" applyAlignment="1">
      <alignment horizontal="left" vertical="top" wrapText="1"/>
    </xf>
    <xf numFmtId="0" fontId="22" fillId="0" borderId="59" xfId="0" applyFont="1" applyBorder="1" applyAlignment="1">
      <alignment vertical="top" wrapText="1"/>
    </xf>
    <xf numFmtId="0" fontId="47" fillId="5" borderId="42" xfId="0" applyFont="1" applyFill="1" applyBorder="1" applyAlignment="1">
      <alignment vertical="top" wrapText="1"/>
    </xf>
    <xf numFmtId="0" fontId="28" fillId="0" borderId="57" xfId="0" applyFont="1" applyBorder="1" applyAlignment="1">
      <alignment vertical="top" wrapText="1"/>
    </xf>
    <xf numFmtId="0" fontId="28" fillId="0" borderId="59" xfId="0" applyFont="1" applyBorder="1" applyAlignment="1">
      <alignment vertical="top" wrapText="1"/>
    </xf>
    <xf numFmtId="0" fontId="61" fillId="6" borderId="39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vertical="top" wrapText="1"/>
    </xf>
    <xf numFmtId="0" fontId="28" fillId="0" borderId="59" xfId="0" applyFont="1" applyFill="1" applyBorder="1" applyAlignment="1">
      <alignment vertical="top" wrapText="1"/>
    </xf>
    <xf numFmtId="0" fontId="56" fillId="0" borderId="59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2" fillId="0" borderId="59" xfId="0" applyFont="1" applyFill="1" applyBorder="1" applyAlignment="1">
      <alignment vertical="top" wrapText="1"/>
    </xf>
    <xf numFmtId="0" fontId="47" fillId="0" borderId="73" xfId="0" applyFont="1" applyFill="1" applyBorder="1" applyAlignment="1">
      <alignment vertical="top" wrapText="1"/>
    </xf>
    <xf numFmtId="0" fontId="47" fillId="0" borderId="59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/>
    </xf>
    <xf numFmtId="0" fontId="22" fillId="5" borderId="8" xfId="0" applyFont="1" applyFill="1" applyBorder="1" applyAlignment="1">
      <alignment vertical="top" wrapText="1"/>
    </xf>
    <xf numFmtId="0" fontId="47" fillId="0" borderId="73" xfId="0" applyFont="1" applyBorder="1" applyAlignment="1">
      <alignment vertical="top" wrapText="1"/>
    </xf>
    <xf numFmtId="0" fontId="28" fillId="0" borderId="23" xfId="0" applyFont="1" applyBorder="1" applyAlignment="1">
      <alignment vertical="top" wrapText="1"/>
    </xf>
    <xf numFmtId="0" fontId="22" fillId="0" borderId="59" xfId="0" applyNumberFormat="1" applyFont="1" applyBorder="1" applyAlignment="1" applyProtection="1">
      <alignment vertical="top" wrapText="1"/>
      <protection locked="0"/>
    </xf>
    <xf numFmtId="0" fontId="47" fillId="0" borderId="59" xfId="0" applyFont="1" applyBorder="1" applyAlignment="1">
      <alignment vertical="top" wrapText="1"/>
    </xf>
    <xf numFmtId="0" fontId="56" fillId="0" borderId="59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23" fillId="3" borderId="8" xfId="0" applyFont="1" applyFill="1" applyBorder="1" applyAlignment="1">
      <alignment horizontal="center" vertical="center" wrapText="1"/>
    </xf>
    <xf numFmtId="0" fontId="47" fillId="5" borderId="39" xfId="0" applyFont="1" applyFill="1" applyBorder="1" applyAlignment="1">
      <alignment vertical="top" wrapText="1"/>
    </xf>
    <xf numFmtId="0" fontId="22" fillId="0" borderId="59" xfId="0" applyFont="1" applyFill="1" applyBorder="1" applyAlignment="1">
      <alignment vertical="top" wrapText="1"/>
    </xf>
    <xf numFmtId="0" fontId="31" fillId="0" borderId="59" xfId="0" applyFont="1" applyFill="1" applyBorder="1" applyAlignment="1">
      <alignment vertical="top" wrapText="1"/>
    </xf>
    <xf numFmtId="0" fontId="22" fillId="5" borderId="59" xfId="0" applyFont="1" applyFill="1" applyBorder="1" applyAlignment="1">
      <alignment vertical="top" wrapText="1"/>
    </xf>
    <xf numFmtId="0" fontId="31" fillId="6" borderId="59" xfId="0" applyFont="1" applyFill="1" applyBorder="1" applyAlignment="1">
      <alignment vertical="top" wrapText="1"/>
    </xf>
    <xf numFmtId="0" fontId="31" fillId="0" borderId="59" xfId="0" applyFont="1" applyBorder="1" applyAlignment="1">
      <alignment vertical="center" wrapText="1"/>
    </xf>
    <xf numFmtId="0" fontId="31" fillId="0" borderId="59" xfId="0" applyFont="1" applyBorder="1" applyAlignment="1">
      <alignment vertical="top" wrapText="1"/>
    </xf>
    <xf numFmtId="0" fontId="56" fillId="0" borderId="60" xfId="0" applyFont="1" applyBorder="1" applyAlignment="1">
      <alignment vertical="top" wrapText="1"/>
    </xf>
    <xf numFmtId="0" fontId="56" fillId="0" borderId="57" xfId="0" applyFont="1" applyBorder="1" applyAlignment="1">
      <alignment vertical="top" wrapText="1"/>
    </xf>
    <xf numFmtId="0" fontId="74" fillId="0" borderId="19" xfId="0" applyFont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top" wrapText="1"/>
    </xf>
    <xf numFmtId="0" fontId="0" fillId="0" borderId="79" xfId="0" applyBorder="1"/>
    <xf numFmtId="173" fontId="14" fillId="0" borderId="2" xfId="0" applyNumberFormat="1" applyFont="1" applyBorder="1" applyAlignment="1">
      <alignment horizontal="center" vertical="center" wrapText="1"/>
    </xf>
    <xf numFmtId="173" fontId="58" fillId="0" borderId="59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173" fontId="19" fillId="0" borderId="58" xfId="0" applyNumberFormat="1" applyFont="1" applyBorder="1" applyAlignment="1">
      <alignment horizontal="center" vertical="center" wrapText="1"/>
    </xf>
    <xf numFmtId="173" fontId="37" fillId="0" borderId="58" xfId="0" applyNumberFormat="1" applyFont="1" applyBorder="1" applyAlignment="1">
      <alignment horizontal="center" vertical="center" wrapText="1"/>
    </xf>
    <xf numFmtId="173" fontId="10" fillId="0" borderId="58" xfId="0" applyNumberFormat="1" applyFont="1" applyBorder="1" applyAlignment="1">
      <alignment horizontal="center" vertical="center" wrapText="1"/>
    </xf>
    <xf numFmtId="173" fontId="10" fillId="0" borderId="57" xfId="0" applyNumberFormat="1" applyFont="1" applyBorder="1" applyAlignment="1">
      <alignment horizontal="center" vertical="center" wrapText="1"/>
    </xf>
    <xf numFmtId="173" fontId="116" fillId="0" borderId="1" xfId="0" applyNumberFormat="1" applyFont="1" applyBorder="1" applyAlignment="1">
      <alignment horizontal="center" vertical="center" wrapText="1"/>
    </xf>
    <xf numFmtId="173" fontId="117" fillId="0" borderId="1" xfId="0" applyNumberFormat="1" applyFont="1" applyBorder="1" applyAlignment="1">
      <alignment horizontal="center" vertical="center" wrapText="1"/>
    </xf>
    <xf numFmtId="173" fontId="117" fillId="0" borderId="16" xfId="0" applyNumberFormat="1" applyFont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 wrapText="1"/>
    </xf>
    <xf numFmtId="0" fontId="117" fillId="0" borderId="16" xfId="0" applyFont="1" applyBorder="1" applyAlignment="1">
      <alignment horizontal="center" vertical="center" wrapText="1"/>
    </xf>
    <xf numFmtId="173" fontId="118" fillId="0" borderId="1" xfId="0" applyNumberFormat="1" applyFont="1" applyBorder="1" applyAlignment="1">
      <alignment horizontal="center" vertical="center" wrapText="1"/>
    </xf>
    <xf numFmtId="173" fontId="118" fillId="0" borderId="16" xfId="0" applyNumberFormat="1" applyFont="1" applyBorder="1" applyAlignment="1">
      <alignment horizontal="center" vertical="center" wrapText="1"/>
    </xf>
    <xf numFmtId="173" fontId="116" fillId="0" borderId="16" xfId="0" applyNumberFormat="1" applyFont="1" applyBorder="1" applyAlignment="1">
      <alignment horizontal="center" vertical="center" wrapText="1"/>
    </xf>
    <xf numFmtId="173" fontId="14" fillId="0" borderId="58" xfId="0" applyNumberFormat="1" applyFont="1" applyBorder="1" applyAlignment="1">
      <alignment horizontal="center" vertical="center" wrapText="1"/>
    </xf>
    <xf numFmtId="173" fontId="14" fillId="0" borderId="44" xfId="0" applyNumberFormat="1" applyFont="1" applyBorder="1" applyAlignment="1">
      <alignment horizontal="center" vertical="center" wrapText="1"/>
    </xf>
    <xf numFmtId="173" fontId="11" fillId="0" borderId="1" xfId="0" applyNumberFormat="1" applyFont="1" applyBorder="1" applyAlignment="1">
      <alignment horizontal="center" vertical="center" wrapText="1"/>
    </xf>
    <xf numFmtId="173" fontId="71" fillId="0" borderId="1" xfId="0" applyNumberFormat="1" applyFont="1" applyBorder="1" applyAlignment="1">
      <alignment horizontal="center" vertical="center" wrapText="1"/>
    </xf>
    <xf numFmtId="173" fontId="71" fillId="0" borderId="1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9" fillId="19" borderId="15" xfId="0" applyFont="1" applyFill="1" applyBorder="1" applyAlignment="1">
      <alignment vertical="center" wrapText="1"/>
    </xf>
    <xf numFmtId="0" fontId="87" fillId="0" borderId="2" xfId="0" applyFont="1" applyBorder="1"/>
    <xf numFmtId="0" fontId="87" fillId="0" borderId="2" xfId="0" applyFont="1" applyBorder="1" applyAlignment="1">
      <alignment wrapText="1"/>
    </xf>
    <xf numFmtId="0" fontId="87" fillId="0" borderId="2" xfId="0" applyFont="1" applyBorder="1" applyAlignment="1">
      <alignment horizontal="center" vertical="center"/>
    </xf>
    <xf numFmtId="173" fontId="119" fillId="0" borderId="1" xfId="0" applyNumberFormat="1" applyFont="1" applyBorder="1" applyAlignment="1">
      <alignment horizontal="center" vertical="center" wrapText="1"/>
    </xf>
    <xf numFmtId="173" fontId="119" fillId="0" borderId="16" xfId="0" applyNumberFormat="1" applyFont="1" applyBorder="1" applyAlignment="1">
      <alignment horizontal="center" vertical="center" wrapText="1"/>
    </xf>
    <xf numFmtId="173" fontId="120" fillId="0" borderId="1" xfId="0" applyNumberFormat="1" applyFont="1" applyBorder="1" applyAlignment="1">
      <alignment horizontal="center" vertical="center" wrapText="1"/>
    </xf>
    <xf numFmtId="173" fontId="120" fillId="0" borderId="16" xfId="0" applyNumberFormat="1" applyFont="1" applyBorder="1" applyAlignment="1">
      <alignment horizontal="center" vertical="center" wrapText="1"/>
    </xf>
    <xf numFmtId="173" fontId="121" fillId="0" borderId="1" xfId="0" applyNumberFormat="1" applyFont="1" applyBorder="1" applyAlignment="1">
      <alignment horizontal="center" vertical="center" wrapText="1"/>
    </xf>
    <xf numFmtId="173" fontId="121" fillId="0" borderId="16" xfId="0" applyNumberFormat="1" applyFont="1" applyBorder="1" applyAlignment="1">
      <alignment horizontal="center" vertical="center" wrapText="1"/>
    </xf>
    <xf numFmtId="173" fontId="122" fillId="0" borderId="1" xfId="0" applyNumberFormat="1" applyFont="1" applyBorder="1" applyAlignment="1">
      <alignment horizontal="center" vertical="center" wrapText="1"/>
    </xf>
    <xf numFmtId="173" fontId="123" fillId="0" borderId="1" xfId="0" applyNumberFormat="1" applyFont="1" applyBorder="1" applyAlignment="1">
      <alignment horizontal="center" vertical="center" wrapText="1"/>
    </xf>
    <xf numFmtId="173" fontId="123" fillId="0" borderId="16" xfId="0" applyNumberFormat="1" applyFont="1" applyBorder="1" applyAlignment="1">
      <alignment horizontal="center" vertical="center" wrapText="1"/>
    </xf>
    <xf numFmtId="173" fontId="124" fillId="0" borderId="1" xfId="0" applyNumberFormat="1" applyFont="1" applyBorder="1" applyAlignment="1">
      <alignment horizontal="center" vertical="center" wrapText="1"/>
    </xf>
    <xf numFmtId="173" fontId="124" fillId="0" borderId="16" xfId="0" applyNumberFormat="1" applyFont="1" applyBorder="1" applyAlignment="1">
      <alignment horizontal="center" vertical="center" wrapText="1"/>
    </xf>
    <xf numFmtId="173" fontId="125" fillId="0" borderId="1" xfId="0" applyNumberFormat="1" applyFont="1" applyBorder="1" applyAlignment="1">
      <alignment horizontal="center" vertical="center" wrapText="1"/>
    </xf>
    <xf numFmtId="173" fontId="125" fillId="0" borderId="16" xfId="0" applyNumberFormat="1" applyFont="1" applyBorder="1" applyAlignment="1">
      <alignment horizontal="center" vertical="center" wrapText="1"/>
    </xf>
    <xf numFmtId="173" fontId="125" fillId="0" borderId="58" xfId="0" applyNumberFormat="1" applyFont="1" applyBorder="1" applyAlignment="1">
      <alignment horizontal="center" vertical="center" wrapText="1"/>
    </xf>
    <xf numFmtId="173" fontId="125" fillId="0" borderId="44" xfId="0" applyNumberFormat="1" applyFont="1" applyBorder="1" applyAlignment="1">
      <alignment horizontal="center" vertical="center" wrapText="1"/>
    </xf>
    <xf numFmtId="173" fontId="125" fillId="0" borderId="72" xfId="0" applyNumberFormat="1" applyFont="1" applyBorder="1" applyAlignment="1">
      <alignment horizontal="center" vertical="center" wrapText="1"/>
    </xf>
    <xf numFmtId="173" fontId="125" fillId="0" borderId="40" xfId="0" applyNumberFormat="1" applyFont="1" applyBorder="1" applyAlignment="1">
      <alignment horizontal="center" vertical="center" wrapText="1"/>
    </xf>
    <xf numFmtId="173" fontId="119" fillId="4" borderId="13" xfId="0" applyNumberFormat="1" applyFont="1" applyFill="1" applyBorder="1" applyAlignment="1">
      <alignment horizontal="center" vertical="center" wrapText="1"/>
    </xf>
    <xf numFmtId="173" fontId="119" fillId="9" borderId="48" xfId="0" applyNumberFormat="1" applyFont="1" applyFill="1" applyBorder="1" applyAlignment="1">
      <alignment horizontal="center" vertical="center" wrapText="1"/>
    </xf>
    <xf numFmtId="173" fontId="119" fillId="9" borderId="15" xfId="0" applyNumberFormat="1" applyFont="1" applyFill="1" applyBorder="1" applyAlignment="1">
      <alignment horizontal="center" vertical="center" wrapText="1"/>
    </xf>
    <xf numFmtId="173" fontId="126" fillId="0" borderId="1" xfId="0" applyNumberFormat="1" applyFont="1" applyBorder="1" applyAlignment="1">
      <alignment horizontal="center" vertical="center" wrapText="1"/>
    </xf>
    <xf numFmtId="173" fontId="126" fillId="0" borderId="16" xfId="0" applyNumberFormat="1" applyFont="1" applyBorder="1" applyAlignment="1">
      <alignment horizontal="center" vertical="center" wrapText="1"/>
    </xf>
    <xf numFmtId="173" fontId="127" fillId="0" borderId="16" xfId="0" applyNumberFormat="1" applyFont="1" applyBorder="1" applyAlignment="1">
      <alignment horizontal="center" vertical="center" wrapText="1"/>
    </xf>
    <xf numFmtId="173" fontId="127" fillId="0" borderId="1" xfId="0" applyNumberFormat="1" applyFont="1" applyBorder="1" applyAlignment="1">
      <alignment horizontal="center" vertical="center" wrapText="1"/>
    </xf>
    <xf numFmtId="0" fontId="124" fillId="0" borderId="40" xfId="0" applyFont="1" applyBorder="1"/>
    <xf numFmtId="0" fontId="124" fillId="0" borderId="0" xfId="0" applyFont="1" applyBorder="1"/>
    <xf numFmtId="0" fontId="124" fillId="0" borderId="78" xfId="0" applyFont="1" applyBorder="1"/>
    <xf numFmtId="173" fontId="119" fillId="9" borderId="21" xfId="0" applyNumberFormat="1" applyFont="1" applyFill="1" applyBorder="1" applyAlignment="1">
      <alignment horizontal="center" vertical="center" wrapText="1"/>
    </xf>
    <xf numFmtId="173" fontId="119" fillId="9" borderId="67" xfId="0" applyNumberFormat="1" applyFont="1" applyFill="1" applyBorder="1" applyAlignment="1">
      <alignment horizontal="center" vertical="center" wrapText="1"/>
    </xf>
    <xf numFmtId="173" fontId="125" fillId="0" borderId="28" xfId="0" applyNumberFormat="1" applyFont="1" applyBorder="1" applyAlignment="1">
      <alignment horizontal="center" vertical="center" wrapText="1"/>
    </xf>
    <xf numFmtId="173" fontId="125" fillId="0" borderId="46" xfId="0" applyNumberFormat="1" applyFont="1" applyBorder="1" applyAlignment="1">
      <alignment horizontal="center" vertical="center" wrapText="1"/>
    </xf>
    <xf numFmtId="173" fontId="121" fillId="0" borderId="59" xfId="0" applyNumberFormat="1" applyFont="1" applyBorder="1" applyAlignment="1">
      <alignment horizontal="center" vertical="center" wrapText="1"/>
    </xf>
    <xf numFmtId="173" fontId="125" fillId="0" borderId="59" xfId="0" applyNumberFormat="1" applyFont="1" applyBorder="1" applyAlignment="1">
      <alignment horizontal="center" vertical="center" wrapText="1"/>
    </xf>
    <xf numFmtId="173" fontId="124" fillId="0" borderId="59" xfId="0" applyNumberFormat="1" applyFont="1" applyBorder="1" applyAlignment="1">
      <alignment horizontal="center" vertical="center" wrapText="1"/>
    </xf>
    <xf numFmtId="173" fontId="122" fillId="0" borderId="59" xfId="0" applyNumberFormat="1" applyFont="1" applyBorder="1" applyAlignment="1">
      <alignment horizontal="center" vertical="center" wrapText="1"/>
    </xf>
    <xf numFmtId="173" fontId="127" fillId="0" borderId="48" xfId="0" applyNumberFormat="1" applyFont="1" applyBorder="1" applyAlignment="1">
      <alignment horizontal="center" vertical="center" wrapText="1"/>
    </xf>
    <xf numFmtId="173" fontId="127" fillId="0" borderId="15" xfId="0" applyNumberFormat="1" applyFont="1" applyBorder="1" applyAlignment="1">
      <alignment horizontal="center" vertical="center" wrapText="1"/>
    </xf>
    <xf numFmtId="173" fontId="119" fillId="4" borderId="4" xfId="0" applyNumberFormat="1" applyFont="1" applyFill="1" applyBorder="1" applyAlignment="1">
      <alignment horizontal="center" vertical="center" wrapText="1"/>
    </xf>
    <xf numFmtId="173" fontId="128" fillId="9" borderId="48" xfId="0" applyNumberFormat="1" applyFont="1" applyFill="1" applyBorder="1" applyAlignment="1">
      <alignment horizontal="center" vertical="center" wrapText="1"/>
    </xf>
    <xf numFmtId="173" fontId="128" fillId="9" borderId="15" xfId="0" applyNumberFormat="1" applyFont="1" applyFill="1" applyBorder="1" applyAlignment="1">
      <alignment horizontal="center" vertical="center" wrapText="1"/>
    </xf>
    <xf numFmtId="173" fontId="124" fillId="0" borderId="58" xfId="0" applyNumberFormat="1" applyFont="1" applyBorder="1" applyAlignment="1">
      <alignment horizontal="center" vertical="center" wrapText="1"/>
    </xf>
    <xf numFmtId="173" fontId="119" fillId="0" borderId="4" xfId="0" applyNumberFormat="1" applyFont="1" applyBorder="1" applyAlignment="1">
      <alignment horizontal="center" vertical="center" wrapText="1"/>
    </xf>
    <xf numFmtId="173" fontId="119" fillId="0" borderId="13" xfId="0" applyNumberFormat="1" applyFont="1" applyBorder="1" applyAlignment="1">
      <alignment horizontal="center" vertical="center" wrapText="1"/>
    </xf>
    <xf numFmtId="173" fontId="119" fillId="12" borderId="43" xfId="0" applyNumberFormat="1" applyFont="1" applyFill="1" applyBorder="1" applyAlignment="1">
      <alignment horizontal="center" vertical="center" wrapText="1"/>
    </xf>
    <xf numFmtId="173" fontId="119" fillId="12" borderId="47" xfId="0" applyNumberFormat="1" applyFont="1" applyFill="1" applyBorder="1" applyAlignment="1">
      <alignment horizontal="center" vertical="center" wrapText="1"/>
    </xf>
    <xf numFmtId="173" fontId="119" fillId="9" borderId="45" xfId="0" applyNumberFormat="1" applyFont="1" applyFill="1" applyBorder="1" applyAlignment="1">
      <alignment horizontal="center" vertical="center" wrapText="1"/>
    </xf>
    <xf numFmtId="173" fontId="119" fillId="9" borderId="27" xfId="0" applyNumberFormat="1" applyFont="1" applyFill="1" applyBorder="1" applyAlignment="1">
      <alignment horizontal="center" vertical="center" wrapText="1"/>
    </xf>
    <xf numFmtId="173" fontId="14" fillId="0" borderId="19" xfId="0" applyNumberFormat="1" applyFont="1" applyBorder="1" applyAlignment="1">
      <alignment horizontal="center" vertical="center" wrapText="1"/>
    </xf>
    <xf numFmtId="173" fontId="14" fillId="0" borderId="72" xfId="0" applyNumberFormat="1" applyFont="1" applyBorder="1" applyAlignment="1">
      <alignment horizontal="center" vertical="center" wrapText="1"/>
    </xf>
    <xf numFmtId="173" fontId="14" fillId="0" borderId="40" xfId="0" applyNumberFormat="1" applyFont="1" applyBorder="1" applyAlignment="1">
      <alignment horizontal="center" vertical="center" wrapText="1"/>
    </xf>
    <xf numFmtId="173" fontId="14" fillId="0" borderId="46" xfId="0" applyNumberFormat="1" applyFont="1" applyBorder="1" applyAlignment="1">
      <alignment horizontal="center" vertical="center" wrapText="1"/>
    </xf>
    <xf numFmtId="173" fontId="8" fillId="9" borderId="21" xfId="0" applyNumberFormat="1" applyFont="1" applyFill="1" applyBorder="1" applyAlignment="1">
      <alignment horizontal="center" vertical="center" wrapText="1"/>
    </xf>
    <xf numFmtId="173" fontId="8" fillId="9" borderId="67" xfId="0" applyNumberFormat="1" applyFont="1" applyFill="1" applyBorder="1" applyAlignment="1">
      <alignment horizontal="center" vertical="center" wrapText="1"/>
    </xf>
    <xf numFmtId="173" fontId="8" fillId="9" borderId="15" xfId="0" applyNumberFormat="1" applyFont="1" applyFill="1" applyBorder="1" applyAlignment="1">
      <alignment horizontal="center" vertical="center" wrapText="1"/>
    </xf>
    <xf numFmtId="173" fontId="8" fillId="9" borderId="48" xfId="0" applyNumberFormat="1" applyFont="1" applyFill="1" applyBorder="1" applyAlignment="1">
      <alignment horizontal="center" vertical="center" wrapText="1"/>
    </xf>
    <xf numFmtId="173" fontId="14" fillId="0" borderId="28" xfId="0" applyNumberFormat="1" applyFont="1" applyBorder="1" applyAlignment="1">
      <alignment horizontal="center" vertical="center" wrapText="1"/>
    </xf>
    <xf numFmtId="173" fontId="8" fillId="4" borderId="4" xfId="0" applyNumberFormat="1" applyFont="1" applyFill="1" applyBorder="1" applyAlignment="1">
      <alignment horizontal="center" vertical="center" wrapText="1"/>
    </xf>
    <xf numFmtId="173" fontId="8" fillId="4" borderId="13" xfId="0" applyNumberFormat="1" applyFont="1" applyFill="1" applyBorder="1" applyAlignment="1">
      <alignment horizontal="center" vertical="center" wrapText="1"/>
    </xf>
    <xf numFmtId="173" fontId="55" fillId="0" borderId="16" xfId="0" applyNumberFormat="1" applyFont="1" applyBorder="1" applyAlignment="1">
      <alignment horizontal="center" vertical="center" wrapText="1"/>
    </xf>
    <xf numFmtId="173" fontId="55" fillId="0" borderId="1" xfId="0" applyNumberFormat="1" applyFont="1" applyBorder="1" applyAlignment="1">
      <alignment horizontal="center" vertical="center" wrapText="1"/>
    </xf>
    <xf numFmtId="173" fontId="8" fillId="4" borderId="55" xfId="0" applyNumberFormat="1" applyFont="1" applyFill="1" applyBorder="1" applyAlignment="1">
      <alignment horizontal="center" vertical="center" wrapText="1"/>
    </xf>
    <xf numFmtId="173" fontId="8" fillId="9" borderId="5" xfId="0" applyNumberFormat="1" applyFont="1" applyFill="1" applyBorder="1" applyAlignment="1">
      <alignment horizontal="center" vertical="center" wrapText="1"/>
    </xf>
    <xf numFmtId="173" fontId="8" fillId="9" borderId="2" xfId="0" applyNumberFormat="1" applyFont="1" applyFill="1" applyBorder="1" applyAlignment="1">
      <alignment horizontal="center" vertical="center" wrapText="1"/>
    </xf>
    <xf numFmtId="173" fontId="8" fillId="9" borderId="19" xfId="0" applyNumberFormat="1" applyFont="1" applyFill="1" applyBorder="1" applyAlignment="1">
      <alignment horizontal="center" vertical="center" wrapText="1"/>
    </xf>
    <xf numFmtId="173" fontId="79" fillId="0" borderId="59" xfId="0" applyNumberFormat="1" applyFont="1" applyBorder="1" applyAlignment="1">
      <alignment horizontal="center" vertical="center" wrapText="1"/>
    </xf>
    <xf numFmtId="173" fontId="14" fillId="0" borderId="59" xfId="0" applyNumberFormat="1" applyFont="1" applyBorder="1" applyAlignment="1">
      <alignment horizontal="center" vertical="center" wrapText="1"/>
    </xf>
    <xf numFmtId="173" fontId="0" fillId="0" borderId="59" xfId="0" applyNumberFormat="1" applyFont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/>
    </xf>
    <xf numFmtId="173" fontId="0" fillId="0" borderId="59" xfId="0" applyNumberFormat="1" applyFont="1" applyBorder="1" applyAlignment="1">
      <alignment horizontal="center"/>
    </xf>
    <xf numFmtId="173" fontId="14" fillId="0" borderId="1" xfId="0" applyNumberFormat="1" applyFont="1" applyBorder="1" applyAlignment="1">
      <alignment horizontal="center"/>
    </xf>
    <xf numFmtId="173" fontId="14" fillId="0" borderId="59" xfId="0" applyNumberFormat="1" applyFont="1" applyBorder="1" applyAlignment="1">
      <alignment horizontal="center"/>
    </xf>
    <xf numFmtId="173" fontId="44" fillId="0" borderId="1" xfId="0" applyNumberFormat="1" applyFont="1" applyBorder="1" applyAlignment="1">
      <alignment horizontal="center" vertical="center" wrapText="1"/>
    </xf>
    <xf numFmtId="173" fontId="44" fillId="0" borderId="59" xfId="0" applyNumberFormat="1" applyFont="1" applyBorder="1" applyAlignment="1">
      <alignment horizontal="center" vertical="center" wrapText="1"/>
    </xf>
    <xf numFmtId="173" fontId="77" fillId="0" borderId="1" xfId="0" applyNumberFormat="1" applyFont="1" applyBorder="1" applyAlignment="1">
      <alignment horizontal="center" vertical="center" wrapText="1"/>
    </xf>
    <xf numFmtId="173" fontId="77" fillId="0" borderId="59" xfId="0" applyNumberFormat="1" applyFont="1" applyBorder="1" applyAlignment="1">
      <alignment horizontal="center" vertical="center" wrapText="1"/>
    </xf>
    <xf numFmtId="173" fontId="15" fillId="0" borderId="1" xfId="0" applyNumberFormat="1" applyFont="1" applyBorder="1" applyAlignment="1">
      <alignment horizontal="center" vertical="center" wrapText="1"/>
    </xf>
    <xf numFmtId="173" fontId="8" fillId="4" borderId="8" xfId="0" applyNumberFormat="1" applyFont="1" applyFill="1" applyBorder="1" applyAlignment="1">
      <alignment horizontal="center" vertical="center" wrapText="1"/>
    </xf>
    <xf numFmtId="173" fontId="8" fillId="9" borderId="28" xfId="0" applyNumberFormat="1" applyFont="1" applyFill="1" applyBorder="1" applyAlignment="1">
      <alignment horizontal="center" vertical="center" wrapText="1"/>
    </xf>
    <xf numFmtId="173" fontId="8" fillId="0" borderId="27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73" fontId="14" fillId="0" borderId="68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3" fontId="44" fillId="0" borderId="16" xfId="0" applyNumberFormat="1" applyFont="1" applyBorder="1" applyAlignment="1">
      <alignment horizontal="center" vertical="center" wrapText="1"/>
    </xf>
    <xf numFmtId="173" fontId="8" fillId="9" borderId="45" xfId="0" applyNumberFormat="1" applyFont="1" applyFill="1" applyBorder="1" applyAlignment="1">
      <alignment horizontal="center" vertical="center" wrapText="1"/>
    </xf>
    <xf numFmtId="173" fontId="8" fillId="9" borderId="27" xfId="0" applyNumberFormat="1" applyFont="1" applyFill="1" applyBorder="1" applyAlignment="1">
      <alignment horizontal="center" vertical="center" wrapText="1"/>
    </xf>
    <xf numFmtId="173" fontId="0" fillId="0" borderId="28" xfId="0" applyNumberFormat="1" applyFont="1" applyBorder="1" applyAlignment="1">
      <alignment horizontal="center" vertical="center" wrapText="1"/>
    </xf>
    <xf numFmtId="173" fontId="14" fillId="0" borderId="55" xfId="0" applyNumberFormat="1" applyFont="1" applyBorder="1" applyAlignment="1">
      <alignment horizontal="center" vertical="center" wrapText="1"/>
    </xf>
    <xf numFmtId="173" fontId="8" fillId="9" borderId="16" xfId="0" applyNumberFormat="1" applyFont="1" applyFill="1" applyBorder="1" applyAlignment="1">
      <alignment horizontal="center" vertical="center" wrapText="1"/>
    </xf>
    <xf numFmtId="173" fontId="8" fillId="9" borderId="1" xfId="0" applyNumberFormat="1" applyFont="1" applyFill="1" applyBorder="1" applyAlignment="1">
      <alignment horizontal="center" vertical="center" wrapText="1"/>
    </xf>
    <xf numFmtId="173" fontId="8" fillId="0" borderId="5" xfId="0" applyNumberFormat="1" applyFont="1" applyBorder="1" applyAlignment="1">
      <alignment horizontal="center" vertical="center" wrapText="1"/>
    </xf>
    <xf numFmtId="173" fontId="8" fillId="0" borderId="2" xfId="0" applyNumberFormat="1" applyFont="1" applyBorder="1" applyAlignment="1">
      <alignment horizontal="center" vertical="center" wrapText="1"/>
    </xf>
    <xf numFmtId="173" fontId="8" fillId="0" borderId="19" xfId="0" applyNumberFormat="1" applyFont="1" applyBorder="1" applyAlignment="1">
      <alignment horizontal="center" vertical="center" wrapText="1"/>
    </xf>
    <xf numFmtId="173" fontId="79" fillId="0" borderId="5" xfId="0" applyNumberFormat="1" applyFont="1" applyBorder="1" applyAlignment="1">
      <alignment horizontal="center" vertical="center" wrapText="1"/>
    </xf>
    <xf numFmtId="173" fontId="55" fillId="0" borderId="5" xfId="0" applyNumberFormat="1" applyFont="1" applyBorder="1" applyAlignment="1">
      <alignment horizontal="center" vertical="center" wrapText="1"/>
    </xf>
    <xf numFmtId="173" fontId="55" fillId="0" borderId="2" xfId="0" applyNumberFormat="1" applyFont="1" applyBorder="1" applyAlignment="1">
      <alignment horizontal="center" vertical="center" wrapText="1"/>
    </xf>
    <xf numFmtId="173" fontId="55" fillId="0" borderId="19" xfId="0" applyNumberFormat="1" applyFont="1" applyBorder="1" applyAlignment="1">
      <alignment horizontal="center" vertical="center" wrapText="1"/>
    </xf>
    <xf numFmtId="173" fontId="14" fillId="0" borderId="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73" fontId="15" fillId="0" borderId="16" xfId="0" applyNumberFormat="1" applyFont="1" applyBorder="1" applyAlignment="1">
      <alignment horizontal="center" vertical="center" wrapText="1"/>
    </xf>
    <xf numFmtId="175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wrapText="1" readingOrder="1"/>
      <protection locked="0"/>
    </xf>
    <xf numFmtId="0" fontId="77" fillId="0" borderId="9" xfId="0" applyNumberFormat="1" applyFont="1" applyFill="1" applyBorder="1" applyAlignment="1" applyProtection="1">
      <alignment wrapText="1" readingOrder="1"/>
      <protection locked="0"/>
    </xf>
    <xf numFmtId="49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2" xfId="0" applyNumberFormat="1" applyBorder="1"/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175" fontId="8" fillId="19" borderId="48" xfId="0" applyNumberFormat="1" applyFont="1" applyFill="1" applyBorder="1" applyAlignment="1" applyProtection="1">
      <alignment horizontal="center" vertical="center"/>
      <protection locked="0"/>
    </xf>
    <xf numFmtId="175" fontId="8" fillId="19" borderId="1" xfId="0" applyNumberFormat="1" applyFont="1" applyFill="1" applyBorder="1" applyAlignment="1" applyProtection="1">
      <alignment horizontal="center" vertical="center"/>
      <protection locked="0"/>
    </xf>
    <xf numFmtId="49" fontId="19" fillId="19" borderId="2" xfId="0" applyNumberFormat="1" applyFont="1" applyFill="1" applyBorder="1" applyAlignment="1" applyProtection="1">
      <alignment horizontal="center" vertical="center" wrapText="1"/>
      <protection locked="0"/>
    </xf>
    <xf numFmtId="49" fontId="71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5" xfId="0" applyNumberFormat="1" applyFont="1" applyFill="1" applyBorder="1" applyAlignment="1" applyProtection="1">
      <alignment horizontal="left" vertical="center" wrapText="1" readingOrder="1"/>
      <protection locked="0"/>
    </xf>
    <xf numFmtId="175" fontId="18" fillId="19" borderId="16" xfId="0" applyNumberFormat="1" applyFont="1" applyFill="1" applyBorder="1" applyAlignment="1" applyProtection="1">
      <alignment horizontal="center" vertical="center"/>
      <protection locked="0"/>
    </xf>
    <xf numFmtId="0" fontId="18" fillId="19" borderId="5" xfId="0" applyNumberFormat="1" applyFont="1" applyFill="1" applyBorder="1" applyAlignment="1" applyProtection="1">
      <alignment wrapText="1" readingOrder="1"/>
      <protection locked="0"/>
    </xf>
    <xf numFmtId="49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" fillId="18" borderId="40" xfId="0" applyNumberFormat="1" applyFont="1" applyFill="1" applyBorder="1" applyAlignment="1" applyProtection="1">
      <alignment horizontal="center" vertical="center" wrapText="1"/>
      <protection locked="0"/>
    </xf>
    <xf numFmtId="0" fontId="77" fillId="19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77" fillId="19" borderId="2" xfId="0" applyNumberFormat="1" applyFont="1" applyFill="1" applyBorder="1" applyAlignment="1" applyProtection="1">
      <alignment horizontal="center" vertical="center" wrapText="1"/>
      <protection locked="0"/>
    </xf>
    <xf numFmtId="49" fontId="77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77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5" xfId="0" applyNumberFormat="1" applyFont="1" applyFill="1" applyBorder="1" applyAlignment="1" applyProtection="1">
      <alignment horizontal="left" vertical="center" wrapText="1"/>
      <protection locked="0"/>
    </xf>
    <xf numFmtId="0" fontId="77" fillId="19" borderId="5" xfId="0" applyNumberFormat="1" applyFont="1" applyFill="1" applyBorder="1" applyAlignment="1" applyProtection="1">
      <alignment vertical="center" wrapText="1"/>
      <protection locked="0"/>
    </xf>
    <xf numFmtId="49" fontId="77" fillId="19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19" fillId="19" borderId="5" xfId="0" applyNumberFormat="1" applyFont="1" applyFill="1" applyBorder="1" applyAlignment="1" applyProtection="1">
      <alignment vertical="center" wrapText="1" readingOrder="1"/>
      <protection locked="0"/>
    </xf>
    <xf numFmtId="0" fontId="8" fillId="19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19" borderId="5" xfId="0" applyNumberFormat="1" applyFont="1" applyFill="1" applyBorder="1" applyAlignment="1" applyProtection="1">
      <alignment horizontal="left" vertical="center" wrapText="1"/>
      <protection locked="0"/>
    </xf>
    <xf numFmtId="0" fontId="8" fillId="19" borderId="5" xfId="0" applyNumberFormat="1" applyFont="1" applyFill="1" applyBorder="1" applyAlignment="1" applyProtection="1">
      <alignment wrapText="1" readingOrder="1"/>
      <protection locked="0"/>
    </xf>
    <xf numFmtId="0" fontId="77" fillId="19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77" fillId="18" borderId="43" xfId="0" applyNumberFormat="1" applyFont="1" applyFill="1" applyBorder="1" applyAlignment="1" applyProtection="1">
      <alignment horizontal="center" vertical="center"/>
      <protection locked="0"/>
    </xf>
    <xf numFmtId="0" fontId="18" fillId="19" borderId="29" xfId="0" applyNumberFormat="1" applyFont="1" applyFill="1" applyBorder="1" applyAlignment="1" applyProtection="1">
      <alignment vertical="center" wrapText="1"/>
      <protection locked="0"/>
    </xf>
    <xf numFmtId="0" fontId="18" fillId="19" borderId="38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69" xfId="0" applyNumberFormat="1" applyFont="1" applyFill="1" applyBorder="1" applyAlignment="1" applyProtection="1">
      <alignment horizontal="center" vertical="center" wrapText="1"/>
      <protection locked="0"/>
    </xf>
    <xf numFmtId="175" fontId="18" fillId="19" borderId="46" xfId="0" applyNumberFormat="1" applyFont="1" applyFill="1" applyBorder="1" applyAlignment="1" applyProtection="1">
      <alignment horizontal="center" vertical="center"/>
      <protection locked="0"/>
    </xf>
    <xf numFmtId="175" fontId="77" fillId="19" borderId="15" xfId="0" applyNumberFormat="1" applyFont="1" applyFill="1" applyBorder="1" applyAlignment="1" applyProtection="1">
      <alignment horizontal="center" vertical="center"/>
      <protection locked="0"/>
    </xf>
    <xf numFmtId="175" fontId="11" fillId="19" borderId="46" xfId="0" applyNumberFormat="1" applyFont="1" applyFill="1" applyBorder="1" applyAlignment="1" applyProtection="1">
      <alignment horizontal="center" vertical="center"/>
      <protection locked="0"/>
    </xf>
    <xf numFmtId="175" fontId="18" fillId="19" borderId="48" xfId="0" applyNumberFormat="1" applyFont="1" applyFill="1" applyBorder="1" applyAlignment="1" applyProtection="1">
      <alignment horizontal="center" vertical="center"/>
      <protection locked="0"/>
    </xf>
    <xf numFmtId="175" fontId="77" fillId="19" borderId="1" xfId="0" applyNumberFormat="1" applyFont="1" applyFill="1" applyBorder="1" applyAlignment="1" applyProtection="1">
      <alignment horizontal="center" vertical="center"/>
      <protection locked="0"/>
    </xf>
    <xf numFmtId="175" fontId="19" fillId="19" borderId="1" xfId="0" applyNumberFormat="1" applyFont="1" applyFill="1" applyBorder="1" applyAlignment="1" applyProtection="1">
      <alignment horizontal="center" vertical="center"/>
      <protection locked="0"/>
    </xf>
    <xf numFmtId="175" fontId="77" fillId="19" borderId="48" xfId="0" applyNumberFormat="1" applyFont="1" applyFill="1" applyBorder="1" applyAlignment="1" applyProtection="1">
      <alignment horizontal="center" vertical="center"/>
      <protection locked="0"/>
    </xf>
    <xf numFmtId="175" fontId="84" fillId="19" borderId="4" xfId="0" applyNumberFormat="1" applyFont="1" applyFill="1" applyBorder="1" applyAlignment="1" applyProtection="1">
      <alignment horizontal="center"/>
      <protection locked="0"/>
    </xf>
    <xf numFmtId="175" fontId="33" fillId="19" borderId="15" xfId="0" applyNumberFormat="1" applyFont="1" applyFill="1" applyBorder="1" applyAlignment="1" applyProtection="1">
      <alignment horizontal="center"/>
      <protection locked="0"/>
    </xf>
    <xf numFmtId="175" fontId="33" fillId="19" borderId="16" xfId="0" applyNumberFormat="1" applyFont="1" applyFill="1" applyBorder="1" applyAlignment="1" applyProtection="1">
      <alignment horizontal="center"/>
      <protection locked="0"/>
    </xf>
    <xf numFmtId="175" fontId="87" fillId="19" borderId="16" xfId="0" applyNumberFormat="1" applyFont="1" applyFill="1" applyBorder="1" applyAlignment="1" applyProtection="1">
      <alignment horizontal="center"/>
      <protection locked="0"/>
    </xf>
    <xf numFmtId="175" fontId="87" fillId="19" borderId="44" xfId="0" applyNumberFormat="1" applyFont="1" applyFill="1" applyBorder="1" applyAlignment="1" applyProtection="1">
      <alignment horizontal="center"/>
      <protection locked="0"/>
    </xf>
    <xf numFmtId="175" fontId="84" fillId="19" borderId="13" xfId="0" applyNumberFormat="1" applyFont="1" applyFill="1" applyBorder="1" applyAlignment="1" applyProtection="1">
      <alignment horizontal="center"/>
      <protection locked="0"/>
    </xf>
    <xf numFmtId="49" fontId="3" fillId="19" borderId="4" xfId="0" applyNumberFormat="1" applyFont="1" applyFill="1" applyBorder="1" applyAlignment="1">
      <alignment horizontal="center" vertical="center" wrapText="1"/>
    </xf>
    <xf numFmtId="49" fontId="3" fillId="19" borderId="6" xfId="0" applyNumberFormat="1" applyFont="1" applyFill="1" applyBorder="1" applyAlignment="1">
      <alignment horizontal="center" vertical="center" wrapText="1"/>
    </xf>
    <xf numFmtId="49" fontId="9" fillId="19" borderId="14" xfId="0" applyNumberFormat="1" applyFont="1" applyFill="1" applyBorder="1" applyAlignment="1">
      <alignment horizontal="center" vertical="center" wrapText="1"/>
    </xf>
    <xf numFmtId="49" fontId="9" fillId="19" borderId="10" xfId="0" applyNumberFormat="1" applyFont="1" applyFill="1" applyBorder="1" applyAlignment="1">
      <alignment horizontal="center" vertical="center" wrapText="1"/>
    </xf>
    <xf numFmtId="0" fontId="33" fillId="19" borderId="4" xfId="0" applyFont="1" applyFill="1" applyBorder="1" applyAlignment="1">
      <alignment horizontal="center" wrapText="1"/>
    </xf>
    <xf numFmtId="173" fontId="33" fillId="19" borderId="27" xfId="0" applyNumberFormat="1" applyFont="1" applyFill="1" applyBorder="1" applyAlignment="1">
      <alignment horizontal="center"/>
    </xf>
    <xf numFmtId="49" fontId="9" fillId="19" borderId="43" xfId="0" applyNumberFormat="1" applyFont="1" applyFill="1" applyBorder="1" applyAlignment="1">
      <alignment horizontal="center" vertical="center"/>
    </xf>
    <xf numFmtId="49" fontId="9" fillId="19" borderId="33" xfId="0" applyNumberFormat="1" applyFont="1" applyFill="1" applyBorder="1" applyAlignment="1">
      <alignment horizontal="center" vertical="center"/>
    </xf>
    <xf numFmtId="49" fontId="9" fillId="19" borderId="41" xfId="0" applyNumberFormat="1" applyFont="1" applyFill="1" applyBorder="1" applyAlignment="1">
      <alignment horizontal="center" vertical="center"/>
    </xf>
    <xf numFmtId="49" fontId="9" fillId="19" borderId="76" xfId="0" applyNumberFormat="1" applyFont="1" applyFill="1" applyBorder="1" applyAlignment="1">
      <alignment horizontal="center" vertical="center"/>
    </xf>
    <xf numFmtId="0" fontId="9" fillId="19" borderId="40" xfId="0" applyFont="1" applyFill="1" applyBorder="1" applyAlignment="1">
      <alignment horizontal="center"/>
    </xf>
    <xf numFmtId="1" fontId="11" fillId="19" borderId="58" xfId="0" applyNumberFormat="1" applyFont="1" applyFill="1" applyBorder="1" applyAlignment="1">
      <alignment horizontal="center"/>
    </xf>
    <xf numFmtId="0" fontId="8" fillId="19" borderId="6" xfId="0" applyFont="1" applyFill="1" applyBorder="1"/>
    <xf numFmtId="49" fontId="8" fillId="19" borderId="14" xfId="0" applyNumberFormat="1" applyFont="1" applyFill="1" applyBorder="1" applyAlignment="1">
      <alignment horizontal="center" vertical="center"/>
    </xf>
    <xf numFmtId="49" fontId="0" fillId="19" borderId="14" xfId="0" applyNumberFormat="1" applyFont="1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/>
    </xf>
    <xf numFmtId="175" fontId="8" fillId="19" borderId="4" xfId="0" applyNumberFormat="1" applyFont="1" applyFill="1" applyBorder="1" applyAlignment="1">
      <alignment horizontal="center"/>
    </xf>
    <xf numFmtId="175" fontId="8" fillId="19" borderId="13" xfId="0" applyNumberFormat="1" applyFont="1" applyFill="1" applyBorder="1" applyAlignment="1">
      <alignment horizontal="center"/>
    </xf>
    <xf numFmtId="49" fontId="71" fillId="19" borderId="3" xfId="0" applyNumberFormat="1" applyFont="1" applyFill="1" applyBorder="1" applyAlignment="1">
      <alignment horizontal="center" vertical="center"/>
    </xf>
    <xf numFmtId="49" fontId="71" fillId="19" borderId="12" xfId="0" applyNumberFormat="1" applyFont="1" applyFill="1" applyBorder="1" applyAlignment="1">
      <alignment horizontal="center" vertical="center"/>
    </xf>
    <xf numFmtId="175" fontId="71" fillId="19" borderId="44" xfId="0" applyNumberFormat="1" applyFont="1" applyFill="1" applyBorder="1" applyAlignment="1">
      <alignment horizontal="center"/>
    </xf>
    <xf numFmtId="175" fontId="71" fillId="19" borderId="58" xfId="0" applyNumberFormat="1" applyFont="1" applyFill="1" applyBorder="1" applyAlignment="1">
      <alignment horizontal="center"/>
    </xf>
    <xf numFmtId="0" fontId="8" fillId="19" borderId="6" xfId="0" applyNumberFormat="1" applyFont="1" applyFill="1" applyBorder="1" applyAlignment="1" applyProtection="1">
      <alignment horizontal="left"/>
      <protection locked="0"/>
    </xf>
    <xf numFmtId="0" fontId="8" fillId="19" borderId="14" xfId="0" applyNumberFormat="1" applyFont="1" applyFill="1" applyBorder="1" applyAlignment="1" applyProtection="1">
      <alignment horizontal="center" vertical="center"/>
      <protection locked="0"/>
    </xf>
    <xf numFmtId="0" fontId="8" fillId="19" borderId="10" xfId="0" applyNumberFormat="1" applyFont="1" applyFill="1" applyBorder="1" applyAlignment="1" applyProtection="1">
      <alignment horizontal="center" vertical="center"/>
      <protection locked="0"/>
    </xf>
    <xf numFmtId="175" fontId="8" fillId="19" borderId="4" xfId="0" applyNumberFormat="1" applyFont="1" applyFill="1" applyBorder="1" applyAlignment="1" applyProtection="1">
      <alignment horizontal="center"/>
      <protection locked="0"/>
    </xf>
    <xf numFmtId="175" fontId="8" fillId="19" borderId="13" xfId="0" applyNumberFormat="1" applyFont="1" applyFill="1" applyBorder="1" applyAlignment="1" applyProtection="1">
      <alignment horizontal="center"/>
      <protection locked="0"/>
    </xf>
    <xf numFmtId="0" fontId="8" fillId="19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0" xfId="0" applyNumberFormat="1" applyFont="1" applyFill="1" applyBorder="1" applyAlignment="1" applyProtection="1">
      <alignment horizontal="center" vertical="center" wrapText="1"/>
      <protection locked="0"/>
    </xf>
    <xf numFmtId="175" fontId="8" fillId="19" borderId="4" xfId="0" applyNumberFormat="1" applyFont="1" applyFill="1" applyBorder="1" applyAlignment="1" applyProtection="1">
      <alignment horizontal="center" vertical="center"/>
      <protection locked="0"/>
    </xf>
    <xf numFmtId="175" fontId="8" fillId="19" borderId="13" xfId="0" applyNumberFormat="1" applyFont="1" applyFill="1" applyBorder="1" applyAlignment="1" applyProtection="1">
      <alignment horizontal="center" vertical="center"/>
      <protection locked="0"/>
    </xf>
    <xf numFmtId="175" fontId="39" fillId="19" borderId="1" xfId="0" applyNumberFormat="1" applyFont="1" applyFill="1" applyBorder="1" applyAlignment="1" applyProtection="1">
      <alignment horizontal="center" vertical="center"/>
      <protection locked="0"/>
    </xf>
    <xf numFmtId="0" fontId="3" fillId="19" borderId="5" xfId="0" applyNumberFormat="1" applyFont="1" applyFill="1" applyBorder="1" applyAlignment="1" applyProtection="1">
      <alignment wrapText="1" readingOrder="1"/>
      <protection locked="0"/>
    </xf>
    <xf numFmtId="49" fontId="3" fillId="19" borderId="2" xfId="0" applyNumberFormat="1" applyFont="1" applyFill="1" applyBorder="1" applyAlignment="1" applyProtection="1">
      <alignment horizontal="center" vertical="center" wrapText="1"/>
      <protection locked="0"/>
    </xf>
    <xf numFmtId="175" fontId="3" fillId="19" borderId="16" xfId="0" applyNumberFormat="1" applyFont="1" applyFill="1" applyBorder="1" applyAlignment="1" applyProtection="1">
      <alignment horizontal="center" vertical="center"/>
      <protection locked="0"/>
    </xf>
    <xf numFmtId="175" fontId="9" fillId="19" borderId="16" xfId="0" applyNumberFormat="1" applyFont="1" applyFill="1" applyBorder="1" applyAlignment="1" applyProtection="1">
      <alignment horizontal="center" vertical="center"/>
      <protection locked="0"/>
    </xf>
    <xf numFmtId="175" fontId="3" fillId="19" borderId="1" xfId="0" applyNumberFormat="1" applyFont="1" applyFill="1" applyBorder="1" applyAlignment="1" applyProtection="1">
      <alignment horizontal="center" vertical="center"/>
      <protection locked="0"/>
    </xf>
    <xf numFmtId="0" fontId="9" fillId="19" borderId="5" xfId="0" applyNumberFormat="1" applyFont="1" applyFill="1" applyBorder="1" applyAlignment="1" applyProtection="1">
      <alignment vertical="center" wrapText="1"/>
      <protection locked="0"/>
    </xf>
    <xf numFmtId="0" fontId="77" fillId="19" borderId="5" xfId="0" applyNumberFormat="1" applyFont="1" applyFill="1" applyBorder="1" applyAlignment="1" applyProtection="1">
      <alignment horizontal="left" wrapText="1" readingOrder="1"/>
      <protection locked="0"/>
    </xf>
    <xf numFmtId="0" fontId="77" fillId="19" borderId="5" xfId="0" applyNumberFormat="1" applyFont="1" applyFill="1" applyBorder="1" applyAlignment="1" applyProtection="1">
      <alignment wrapText="1" readingOrder="1"/>
      <protection locked="0"/>
    </xf>
    <xf numFmtId="0" fontId="11" fillId="19" borderId="5" xfId="0" applyNumberFormat="1" applyFont="1" applyFill="1" applyBorder="1" applyAlignment="1" applyProtection="1">
      <alignment wrapText="1" readingOrder="1"/>
      <protection locked="0"/>
    </xf>
    <xf numFmtId="0" fontId="71" fillId="19" borderId="5" xfId="0" applyNumberFormat="1" applyFont="1" applyFill="1" applyBorder="1" applyAlignment="1" applyProtection="1">
      <alignment horizontal="left" wrapText="1" readingOrder="1"/>
      <protection locked="0"/>
    </xf>
    <xf numFmtId="49" fontId="39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19" borderId="5" xfId="0" applyNumberFormat="1" applyFont="1" applyFill="1" applyBorder="1" applyAlignment="1" applyProtection="1">
      <alignment horizontal="left" wrapText="1" readingOrder="1"/>
      <protection locked="0"/>
    </xf>
    <xf numFmtId="49" fontId="18" fillId="19" borderId="2" xfId="0" applyNumberFormat="1" applyFont="1" applyFill="1" applyBorder="1" applyAlignment="1" applyProtection="1">
      <alignment horizontal="center" vertical="center"/>
      <protection locked="0"/>
    </xf>
    <xf numFmtId="0" fontId="33" fillId="19" borderId="78" xfId="0" applyFont="1" applyFill="1" applyBorder="1" applyAlignment="1">
      <alignment horizontal="center"/>
    </xf>
    <xf numFmtId="1" fontId="87" fillId="19" borderId="68" xfId="0" applyNumberFormat="1" applyFont="1" applyFill="1" applyBorder="1" applyAlignment="1">
      <alignment horizontal="center"/>
    </xf>
    <xf numFmtId="0" fontId="87" fillId="19" borderId="46" xfId="0" applyFont="1" applyFill="1" applyBorder="1" applyAlignment="1">
      <alignment horizontal="center"/>
    </xf>
    <xf numFmtId="1" fontId="87" fillId="19" borderId="28" xfId="0" applyNumberFormat="1" applyFont="1" applyFill="1" applyBorder="1" applyAlignment="1">
      <alignment horizontal="center"/>
    </xf>
    <xf numFmtId="1" fontId="87" fillId="19" borderId="70" xfId="0" applyNumberFormat="1" applyFont="1" applyFill="1" applyBorder="1" applyAlignment="1">
      <alignment horizontal="center"/>
    </xf>
    <xf numFmtId="175" fontId="33" fillId="19" borderId="15" xfId="0" applyNumberFormat="1" applyFont="1" applyFill="1" applyBorder="1" applyAlignment="1">
      <alignment horizontal="center"/>
    </xf>
    <xf numFmtId="175" fontId="33" fillId="19" borderId="48" xfId="0" applyNumberFormat="1" applyFont="1" applyFill="1" applyBorder="1" applyAlignment="1">
      <alignment horizontal="center"/>
    </xf>
    <xf numFmtId="175" fontId="33" fillId="19" borderId="16" xfId="0" applyNumberFormat="1" applyFont="1" applyFill="1" applyBorder="1" applyAlignment="1">
      <alignment horizontal="center"/>
    </xf>
    <xf numFmtId="175" fontId="33" fillId="19" borderId="1" xfId="0" applyNumberFormat="1" applyFont="1" applyFill="1" applyBorder="1" applyAlignment="1">
      <alignment horizontal="center"/>
    </xf>
    <xf numFmtId="175" fontId="33" fillId="19" borderId="1" xfId="0" applyNumberFormat="1" applyFont="1" applyFill="1" applyBorder="1" applyAlignment="1" applyProtection="1">
      <alignment horizontal="center"/>
      <protection locked="0"/>
    </xf>
    <xf numFmtId="175" fontId="87" fillId="19" borderId="16" xfId="0" applyNumberFormat="1" applyFont="1" applyFill="1" applyBorder="1" applyAlignment="1">
      <alignment horizontal="center"/>
    </xf>
    <xf numFmtId="175" fontId="87" fillId="19" borderId="1" xfId="0" applyNumberFormat="1" applyFont="1" applyFill="1" applyBorder="1" applyAlignment="1">
      <alignment horizontal="center"/>
    </xf>
    <xf numFmtId="175" fontId="86" fillId="19" borderId="44" xfId="0" applyNumberFormat="1" applyFont="1" applyFill="1" applyBorder="1" applyAlignment="1">
      <alignment horizontal="center"/>
    </xf>
    <xf numFmtId="175" fontId="86" fillId="19" borderId="58" xfId="0" applyNumberFormat="1" applyFont="1" applyFill="1" applyBorder="1" applyAlignment="1">
      <alignment horizontal="center"/>
    </xf>
    <xf numFmtId="175" fontId="71" fillId="19" borderId="1" xfId="0" applyNumberFormat="1" applyFont="1" applyFill="1" applyBorder="1" applyAlignment="1" applyProtection="1">
      <alignment horizontal="center" vertical="center"/>
      <protection locked="0"/>
    </xf>
    <xf numFmtId="175" fontId="71" fillId="19" borderId="1" xfId="0" applyNumberFormat="1" applyFont="1" applyFill="1" applyBorder="1" applyAlignment="1">
      <alignment horizontal="center" vertical="center"/>
    </xf>
    <xf numFmtId="175" fontId="11" fillId="19" borderId="1" xfId="0" applyNumberFormat="1" applyFont="1" applyFill="1" applyBorder="1" applyAlignment="1">
      <alignment horizontal="center" vertical="center"/>
    </xf>
    <xf numFmtId="175" fontId="9" fillId="19" borderId="1" xfId="0" applyNumberFormat="1" applyFont="1" applyFill="1" applyBorder="1" applyAlignment="1">
      <alignment horizontal="center" vertical="center"/>
    </xf>
    <xf numFmtId="175" fontId="39" fillId="19" borderId="1" xfId="0" applyNumberFormat="1" applyFont="1" applyFill="1" applyBorder="1" applyAlignment="1">
      <alignment horizontal="center" vertical="center"/>
    </xf>
    <xf numFmtId="175" fontId="9" fillId="19" borderId="16" xfId="0" applyNumberFormat="1" applyFont="1" applyFill="1" applyBorder="1" applyAlignment="1">
      <alignment horizontal="center" vertical="center"/>
    </xf>
    <xf numFmtId="175" fontId="18" fillId="19" borderId="28" xfId="0" applyNumberFormat="1" applyFont="1" applyFill="1" applyBorder="1" applyAlignment="1" applyProtection="1">
      <alignment horizontal="center" vertical="center"/>
      <protection locked="0"/>
    </xf>
    <xf numFmtId="175" fontId="11" fillId="19" borderId="28" xfId="0" applyNumberFormat="1" applyFont="1" applyFill="1" applyBorder="1" applyAlignment="1">
      <alignment horizontal="center" vertical="center"/>
    </xf>
    <xf numFmtId="175" fontId="11" fillId="19" borderId="70" xfId="0" applyNumberFormat="1" applyFont="1" applyFill="1" applyBorder="1" applyAlignment="1">
      <alignment horizontal="center" vertical="center"/>
    </xf>
    <xf numFmtId="175" fontId="34" fillId="19" borderId="13" xfId="0" applyNumberFormat="1" applyFont="1" applyFill="1" applyBorder="1" applyAlignment="1">
      <alignment horizontal="center"/>
    </xf>
    <xf numFmtId="175" fontId="34" fillId="19" borderId="35" xfId="0" applyNumberFormat="1" applyFont="1" applyFill="1" applyBorder="1" applyAlignment="1">
      <alignment horizontal="center"/>
    </xf>
    <xf numFmtId="175" fontId="87" fillId="19" borderId="48" xfId="0" applyNumberFormat="1" applyFont="1" applyFill="1" applyBorder="1" applyAlignment="1">
      <alignment horizontal="center"/>
    </xf>
    <xf numFmtId="175" fontId="87" fillId="19" borderId="77" xfId="0" applyNumberFormat="1" applyFont="1" applyFill="1" applyBorder="1" applyAlignment="1">
      <alignment horizontal="center"/>
    </xf>
    <xf numFmtId="175" fontId="87" fillId="19" borderId="68" xfId="0" applyNumberFormat="1" applyFont="1" applyFill="1" applyBorder="1" applyAlignment="1">
      <alignment horizontal="center"/>
    </xf>
    <xf numFmtId="49" fontId="102" fillId="19" borderId="14" xfId="0" applyNumberFormat="1" applyFont="1" applyFill="1" applyBorder="1" applyAlignment="1">
      <alignment horizontal="center" vertical="center" wrapText="1"/>
    </xf>
    <xf numFmtId="49" fontId="2" fillId="9" borderId="44" xfId="0" applyNumberFormat="1" applyFont="1" applyFill="1" applyBorder="1" applyAlignment="1">
      <alignment horizontal="center" vertical="center"/>
    </xf>
    <xf numFmtId="49" fontId="2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8" xfId="0" applyNumberFormat="1" applyFont="1" applyFill="1" applyBorder="1" applyAlignment="1" applyProtection="1">
      <alignment horizontal="center" vertical="center" wrapText="1"/>
      <protection locked="0"/>
    </xf>
    <xf numFmtId="175" fontId="2" fillId="25" borderId="13" xfId="0" applyNumberFormat="1" applyFont="1" applyFill="1" applyBorder="1" applyAlignment="1" applyProtection="1">
      <alignment horizontal="center" vertical="center"/>
      <protection locked="0"/>
    </xf>
    <xf numFmtId="49" fontId="2" fillId="21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1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23" xfId="0" applyNumberFormat="1" applyFont="1" applyFill="1" applyBorder="1" applyAlignment="1" applyProtection="1">
      <alignment horizontal="center" vertical="center" wrapText="1"/>
      <protection locked="0"/>
    </xf>
    <xf numFmtId="175" fontId="2" fillId="21" borderId="48" xfId="0" applyNumberFormat="1" applyFont="1" applyFill="1" applyBorder="1" applyAlignment="1" applyProtection="1">
      <alignment horizontal="center" vertical="center"/>
      <protection locked="0"/>
    </xf>
    <xf numFmtId="0" fontId="2" fillId="21" borderId="59" xfId="0" applyNumberFormat="1" applyFont="1" applyFill="1" applyBorder="1" applyAlignment="1" applyProtection="1">
      <alignment wrapText="1" readingOrder="1"/>
      <protection locked="0"/>
    </xf>
    <xf numFmtId="0" fontId="2" fillId="21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1" borderId="59" xfId="0" applyNumberFormat="1" applyFont="1" applyFill="1" applyBorder="1" applyAlignment="1" applyProtection="1">
      <alignment horizontal="left" vertical="center" wrapText="1" readingOrder="1"/>
      <protection locked="0"/>
    </xf>
    <xf numFmtId="49" fontId="2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48" xfId="0" applyNumberFormat="1" applyFont="1" applyFill="1" applyBorder="1" applyAlignment="1" applyProtection="1">
      <alignment horizontal="center" vertical="center"/>
      <protection locked="0"/>
    </xf>
    <xf numFmtId="0" fontId="10" fillId="21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21" borderId="23" xfId="0" applyNumberFormat="1" applyFont="1" applyFill="1" applyBorder="1" applyAlignment="1" applyProtection="1">
      <alignment horizontal="center" vertical="center"/>
      <protection locked="0"/>
    </xf>
    <xf numFmtId="49" fontId="2" fillId="21" borderId="1" xfId="0" applyNumberFormat="1" applyFont="1" applyFill="1" applyBorder="1" applyAlignment="1" applyProtection="1">
      <alignment horizontal="center" vertical="center"/>
      <protection locked="0"/>
    </xf>
    <xf numFmtId="0" fontId="2" fillId="21" borderId="59" xfId="0" applyNumberFormat="1" applyFont="1" applyFill="1" applyBorder="1" applyAlignment="1" applyProtection="1">
      <alignment horizontal="left" vertical="center" wrapText="1"/>
      <protection locked="0"/>
    </xf>
    <xf numFmtId="0" fontId="6" fillId="21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1" borderId="59" xfId="0" applyNumberFormat="1" applyFont="1" applyFill="1" applyBorder="1" applyAlignment="1" applyProtection="1">
      <alignment horizontal="center" vertical="center"/>
      <protection locked="0"/>
    </xf>
    <xf numFmtId="175" fontId="7" fillId="10" borderId="59" xfId="0" applyNumberFormat="1" applyFont="1" applyFill="1" applyBorder="1" applyAlignment="1">
      <alignment horizontal="center" vertical="center"/>
    </xf>
    <xf numFmtId="49" fontId="2" fillId="21" borderId="24" xfId="0" applyNumberFormat="1" applyFont="1" applyFill="1" applyBorder="1" applyAlignment="1" applyProtection="1">
      <alignment horizontal="center" vertical="center" wrapText="1"/>
      <protection locked="0"/>
    </xf>
    <xf numFmtId="173" fontId="13" fillId="0" borderId="16" xfId="0" applyNumberFormat="1" applyFont="1" applyBorder="1" applyAlignment="1">
      <alignment horizontal="center" vertical="center" wrapText="1"/>
    </xf>
    <xf numFmtId="0" fontId="2" fillId="21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25" borderId="13" xfId="0" applyNumberFormat="1" applyFont="1" applyFill="1" applyBorder="1" applyAlignment="1" applyProtection="1">
      <alignment horizontal="center" vertical="center"/>
      <protection locked="0"/>
    </xf>
    <xf numFmtId="0" fontId="2" fillId="25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7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49" fontId="9" fillId="0" borderId="72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wrapText="1" readingOrder="1"/>
      <protection locked="0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175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2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3" borderId="2" xfId="0" applyNumberFormat="1" applyFont="1" applyFill="1" applyBorder="1" applyAlignment="1" applyProtection="1">
      <alignment horizontal="left" vertical="center" wrapText="1" readingOrder="1"/>
      <protection locked="0"/>
    </xf>
    <xf numFmtId="175" fontId="2" fillId="23" borderId="2" xfId="0" applyNumberFormat="1" applyFont="1" applyFill="1" applyBorder="1" applyAlignment="1" applyProtection="1">
      <alignment horizontal="center" vertical="center"/>
      <protection locked="0"/>
    </xf>
    <xf numFmtId="49" fontId="2" fillId="23" borderId="2" xfId="0" applyNumberFormat="1" applyFont="1" applyFill="1" applyBorder="1" applyAlignment="1" applyProtection="1">
      <alignment horizontal="center" vertical="center"/>
      <protection locked="0"/>
    </xf>
    <xf numFmtId="0" fontId="2" fillId="23" borderId="2" xfId="0" applyNumberFormat="1" applyFont="1" applyFill="1" applyBorder="1" applyAlignment="1" applyProtection="1">
      <alignment horizontal="left" vertical="center" wrapText="1"/>
      <protection locked="0"/>
    </xf>
    <xf numFmtId="0" fontId="71" fillId="19" borderId="2" xfId="0" applyNumberFormat="1" applyFont="1" applyFill="1" applyBorder="1" applyAlignment="1" applyProtection="1">
      <alignment horizontal="left" vertical="center" wrapText="1" readingOrder="1"/>
      <protection locked="0"/>
    </xf>
    <xf numFmtId="175" fontId="71" fillId="19" borderId="2" xfId="0" applyNumberFormat="1" applyFont="1" applyFill="1" applyBorder="1" applyAlignment="1" applyProtection="1">
      <alignment horizontal="center" vertical="center"/>
      <protection locked="0"/>
    </xf>
    <xf numFmtId="0" fontId="71" fillId="19" borderId="2" xfId="0" applyNumberFormat="1" applyFont="1" applyFill="1" applyBorder="1" applyAlignment="1" applyProtection="1">
      <alignment wrapText="1" readingOrder="1"/>
      <protection locked="0"/>
    </xf>
    <xf numFmtId="0" fontId="71" fillId="19" borderId="2" xfId="0" applyNumberFormat="1" applyFont="1" applyFill="1" applyBorder="1" applyAlignment="1" applyProtection="1">
      <alignment vertical="center" wrapText="1"/>
      <protection locked="0"/>
    </xf>
    <xf numFmtId="49" fontId="71" fillId="19" borderId="2" xfId="0" applyNumberFormat="1" applyFont="1" applyFill="1" applyBorder="1" applyAlignment="1" applyProtection="1">
      <alignment horizontal="center" vertical="center"/>
      <protection locked="0"/>
    </xf>
    <xf numFmtId="0" fontId="71" fillId="19" borderId="2" xfId="0" applyNumberFormat="1" applyFont="1" applyFill="1" applyBorder="1" applyAlignment="1" applyProtection="1">
      <alignment horizontal="left" wrapText="1" readingOrder="1"/>
      <protection locked="0"/>
    </xf>
    <xf numFmtId="0" fontId="71" fillId="19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wrapText="1" readingOrder="1"/>
      <protection locked="0"/>
    </xf>
    <xf numFmtId="175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18" borderId="40" xfId="0" applyNumberFormat="1" applyFont="1" applyFill="1" applyBorder="1" applyAlignment="1" applyProtection="1">
      <alignment horizontal="center" vertical="center"/>
      <protection locked="0"/>
    </xf>
    <xf numFmtId="175" fontId="84" fillId="19" borderId="17" xfId="0" applyNumberFormat="1" applyFont="1" applyFill="1" applyBorder="1" applyAlignment="1" applyProtection="1">
      <alignment horizontal="center"/>
      <protection locked="0"/>
    </xf>
    <xf numFmtId="175" fontId="84" fillId="19" borderId="55" xfId="0" applyNumberFormat="1" applyFont="1" applyFill="1" applyBorder="1" applyAlignment="1" applyProtection="1">
      <alignment horizontal="center"/>
      <protection locked="0"/>
    </xf>
    <xf numFmtId="49" fontId="33" fillId="19" borderId="42" xfId="0" applyNumberFormat="1" applyFont="1" applyFill="1" applyBorder="1" applyAlignment="1">
      <alignment horizontal="center"/>
    </xf>
    <xf numFmtId="0" fontId="33" fillId="19" borderId="55" xfId="0" applyFont="1" applyFill="1" applyBorder="1" applyAlignment="1">
      <alignment horizontal="center"/>
    </xf>
    <xf numFmtId="0" fontId="33" fillId="19" borderId="79" xfId="0" applyFont="1" applyFill="1" applyBorder="1" applyAlignment="1">
      <alignment horizontal="center"/>
    </xf>
    <xf numFmtId="49" fontId="34" fillId="0" borderId="66" xfId="0" applyNumberFormat="1" applyFont="1" applyBorder="1" applyAlignment="1">
      <alignment horizontal="center" wrapText="1"/>
    </xf>
    <xf numFmtId="0" fontId="80" fillId="0" borderId="0" xfId="0" applyFont="1" applyAlignment="1">
      <alignment horizontal="right"/>
    </xf>
    <xf numFmtId="0" fontId="36" fillId="0" borderId="59" xfId="0" applyFont="1" applyBorder="1" applyAlignment="1">
      <alignment vertical="top" wrapText="1"/>
    </xf>
    <xf numFmtId="49" fontId="48" fillId="7" borderId="5" xfId="0" applyNumberFormat="1" applyFont="1" applyFill="1" applyBorder="1" applyAlignment="1">
      <alignment horizontal="center" vertical="top" wrapText="1"/>
    </xf>
    <xf numFmtId="0" fontId="84" fillId="0" borderId="36" xfId="0" applyFont="1" applyBorder="1" applyAlignment="1">
      <alignment horizontal="center" vertical="top" wrapText="1"/>
    </xf>
    <xf numFmtId="49" fontId="46" fillId="7" borderId="5" xfId="0" applyNumberFormat="1" applyFont="1" applyFill="1" applyBorder="1" applyAlignment="1">
      <alignment horizontal="center" vertical="top" wrapText="1"/>
    </xf>
    <xf numFmtId="49" fontId="33" fillId="0" borderId="5" xfId="0" applyNumberFormat="1" applyFont="1" applyFill="1" applyBorder="1" applyAlignment="1">
      <alignment horizontal="center" vertical="top" wrapText="1"/>
    </xf>
    <xf numFmtId="49" fontId="46" fillId="0" borderId="5" xfId="0" applyNumberFormat="1" applyFont="1" applyFill="1" applyBorder="1" applyAlignment="1">
      <alignment horizontal="center" vertical="top" wrapText="1"/>
    </xf>
    <xf numFmtId="49" fontId="46" fillId="4" borderId="5" xfId="0" applyNumberFormat="1" applyFont="1" applyFill="1" applyBorder="1" applyAlignment="1">
      <alignment horizontal="center" vertical="top" wrapText="1"/>
    </xf>
    <xf numFmtId="49" fontId="48" fillId="7" borderId="7" xfId="0" applyNumberFormat="1" applyFont="1" applyFill="1" applyBorder="1" applyAlignment="1">
      <alignment horizontal="center" vertical="top" wrapText="1"/>
    </xf>
    <xf numFmtId="0" fontId="84" fillId="0" borderId="64" xfId="0" applyFont="1" applyBorder="1" applyAlignment="1">
      <alignment horizontal="center" vertical="top" wrapText="1"/>
    </xf>
    <xf numFmtId="49" fontId="46" fillId="7" borderId="11" xfId="0" applyNumberFormat="1" applyFont="1" applyFill="1" applyBorder="1" applyAlignment="1">
      <alignment horizontal="justify" vertical="justify" wrapText="1"/>
    </xf>
    <xf numFmtId="49" fontId="48" fillId="7" borderId="11" xfId="0" applyNumberFormat="1" applyFont="1" applyFill="1" applyBorder="1" applyAlignment="1">
      <alignment horizontal="justify" vertical="justify" wrapText="1"/>
    </xf>
    <xf numFmtId="49" fontId="52" fillId="7" borderId="11" xfId="0" applyNumberFormat="1" applyFont="1" applyFill="1" applyBorder="1" applyAlignment="1">
      <alignment horizontal="justify" vertical="justify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justify" vertical="justify" wrapText="1"/>
    </xf>
    <xf numFmtId="49" fontId="46" fillId="4" borderId="11" xfId="0" applyNumberFormat="1" applyFont="1" applyFill="1" applyBorder="1" applyAlignment="1">
      <alignment horizontal="justify" vertical="justify" wrapText="1"/>
    </xf>
    <xf numFmtId="0" fontId="8" fillId="0" borderId="10" xfId="0" applyFont="1" applyBorder="1"/>
    <xf numFmtId="0" fontId="84" fillId="0" borderId="27" xfId="0" applyFont="1" applyBorder="1" applyAlignment="1">
      <alignment horizontal="center" vertical="top" wrapText="1"/>
    </xf>
    <xf numFmtId="0" fontId="84" fillId="0" borderId="1" xfId="0" applyFont="1" applyBorder="1" applyAlignment="1">
      <alignment horizontal="center" vertical="top" wrapText="1"/>
    </xf>
    <xf numFmtId="0" fontId="103" fillId="0" borderId="1" xfId="0" applyFont="1" applyBorder="1" applyAlignment="1">
      <alignment horizontal="center" vertical="top" wrapText="1"/>
    </xf>
    <xf numFmtId="0" fontId="85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86" fillId="0" borderId="1" xfId="0" applyFont="1" applyBorder="1"/>
    <xf numFmtId="175" fontId="34" fillId="0" borderId="1" xfId="0" applyNumberFormat="1" applyFont="1" applyFill="1" applyBorder="1" applyAlignment="1">
      <alignment horizontal="center" vertical="center"/>
    </xf>
    <xf numFmtId="175" fontId="34" fillId="4" borderId="1" xfId="0" applyNumberFormat="1" applyFont="1" applyFill="1" applyBorder="1" applyAlignment="1">
      <alignment horizontal="center" vertical="center"/>
    </xf>
    <xf numFmtId="175" fontId="34" fillId="0" borderId="1" xfId="0" applyNumberFormat="1" applyFont="1" applyBorder="1" applyAlignment="1">
      <alignment horizontal="center" vertical="center"/>
    </xf>
    <xf numFmtId="175" fontId="87" fillId="0" borderId="1" xfId="0" applyNumberFormat="1" applyFont="1" applyBorder="1" applyAlignment="1">
      <alignment horizontal="center" vertical="center"/>
    </xf>
    <xf numFmtId="175" fontId="87" fillId="0" borderId="58" xfId="0" applyNumberFormat="1" applyFont="1" applyBorder="1" applyAlignment="1">
      <alignment horizontal="center" vertical="center"/>
    </xf>
    <xf numFmtId="175" fontId="34" fillId="0" borderId="13" xfId="0" applyNumberFormat="1" applyFont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77" fillId="0" borderId="9" xfId="0" applyNumberFormat="1" applyFont="1" applyBorder="1" applyAlignment="1" applyProtection="1">
      <alignment horizontal="center" vertical="center" wrapText="1"/>
      <protection locked="0"/>
    </xf>
    <xf numFmtId="0" fontId="2" fillId="2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vertical="center" wrapText="1" readingOrder="1"/>
      <protection locked="0"/>
    </xf>
    <xf numFmtId="0" fontId="31" fillId="0" borderId="0" xfId="0" applyFont="1" applyAlignment="1">
      <alignment horizontal="right"/>
    </xf>
    <xf numFmtId="49" fontId="31" fillId="0" borderId="0" xfId="0" applyNumberFormat="1" applyFont="1" applyAlignment="1">
      <alignment horizontal="right"/>
    </xf>
    <xf numFmtId="0" fontId="18" fillId="19" borderId="1" xfId="0" applyNumberFormat="1" applyFont="1" applyFill="1" applyBorder="1" applyAlignment="1" applyProtection="1">
      <alignment vertical="center" wrapText="1" readingOrder="1"/>
      <protection locked="0"/>
    </xf>
    <xf numFmtId="0" fontId="11" fillId="21" borderId="1" xfId="0" applyNumberFormat="1" applyFont="1" applyFill="1" applyBorder="1" applyAlignment="1" applyProtection="1">
      <alignment vertical="center" wrapText="1" readingOrder="1"/>
      <protection locked="0"/>
    </xf>
    <xf numFmtId="49" fontId="18" fillId="19" borderId="1" xfId="0" applyNumberFormat="1" applyFont="1" applyFill="1" applyBorder="1" applyAlignment="1" applyProtection="1">
      <alignment vertical="center" wrapText="1" readingOrder="1"/>
      <protection locked="0"/>
    </xf>
    <xf numFmtId="0" fontId="79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3" fontId="7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3" fontId="11" fillId="0" borderId="0" xfId="0" applyNumberFormat="1" applyFont="1" applyBorder="1" applyAlignment="1">
      <alignment horizontal="center" vertical="center" wrapText="1"/>
    </xf>
    <xf numFmtId="173" fontId="71" fillId="0" borderId="0" xfId="0" applyNumberFormat="1" applyFont="1" applyBorder="1" applyAlignment="1">
      <alignment horizontal="center" vertical="center" wrapText="1"/>
    </xf>
    <xf numFmtId="49" fontId="8" fillId="26" borderId="16" xfId="0" applyNumberFormat="1" applyFont="1" applyFill="1" applyBorder="1" applyAlignment="1" applyProtection="1">
      <alignment horizontal="center" vertical="center"/>
      <protection locked="0"/>
    </xf>
    <xf numFmtId="0" fontId="8" fillId="26" borderId="1" xfId="0" applyNumberFormat="1" applyFont="1" applyFill="1" applyBorder="1" applyAlignment="1" applyProtection="1">
      <alignment vertical="center" wrapText="1"/>
      <protection locked="0"/>
    </xf>
    <xf numFmtId="0" fontId="8" fillId="26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6" borderId="11" xfId="0" applyNumberFormat="1" applyFont="1" applyFill="1" applyBorder="1" applyAlignment="1" applyProtection="1">
      <alignment horizontal="center" vertical="center"/>
      <protection locked="0"/>
    </xf>
    <xf numFmtId="175" fontId="8" fillId="26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4" borderId="1" xfId="0" applyNumberFormat="1" applyFont="1" applyFill="1" applyBorder="1" applyAlignment="1" applyProtection="1">
      <alignment vertical="center" wrapText="1" readingOrder="1"/>
      <protection locked="0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175" fontId="98" fillId="0" borderId="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>
      <alignment horizontal="center" vertical="center" wrapText="1"/>
    </xf>
    <xf numFmtId="0" fontId="3" fillId="21" borderId="5" xfId="0" applyFont="1" applyFill="1" applyBorder="1" applyAlignment="1">
      <alignment vertical="center" wrapText="1"/>
    </xf>
    <xf numFmtId="0" fontId="19" fillId="21" borderId="2" xfId="0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  <xf numFmtId="173" fontId="18" fillId="21" borderId="1" xfId="0" applyNumberFormat="1" applyFont="1" applyFill="1" applyBorder="1" applyAlignment="1">
      <alignment horizontal="center" vertical="center" wrapText="1"/>
    </xf>
    <xf numFmtId="0" fontId="19" fillId="21" borderId="5" xfId="0" applyFont="1" applyFill="1" applyBorder="1" applyAlignment="1">
      <alignment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59" xfId="0" applyFont="1" applyBorder="1" applyAlignment="1">
      <alignment horizontal="center"/>
    </xf>
    <xf numFmtId="0" fontId="8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right"/>
    </xf>
    <xf numFmtId="49" fontId="22" fillId="0" borderId="42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4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/>
    </xf>
    <xf numFmtId="0" fontId="10" fillId="0" borderId="39" xfId="0" applyFont="1" applyFill="1" applyBorder="1" applyAlignment="1">
      <alignment horizontal="center" vertical="center"/>
    </xf>
    <xf numFmtId="0" fontId="22" fillId="0" borderId="0" xfId="0" applyNumberFormat="1" applyFont="1" applyAlignment="1" applyProtection="1">
      <alignment horizontal="right"/>
      <protection locked="0"/>
    </xf>
    <xf numFmtId="49" fontId="33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5" fillId="0" borderId="36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75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104" fillId="0" borderId="0" xfId="0" applyFont="1" applyAlignment="1">
      <alignment horizontal="right"/>
    </xf>
    <xf numFmtId="0" fontId="86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104" fillId="0" borderId="0" xfId="0" applyNumberFormat="1" applyFont="1" applyAlignment="1" applyProtection="1">
      <alignment horizontal="right"/>
      <protection locked="0"/>
    </xf>
    <xf numFmtId="0" fontId="7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top" wrapText="1"/>
    </xf>
    <xf numFmtId="0" fontId="85" fillId="0" borderId="2" xfId="0" applyFont="1" applyBorder="1" applyAlignment="1">
      <alignment horizontal="center" vertical="top" wrapText="1"/>
    </xf>
    <xf numFmtId="0" fontId="85" fillId="0" borderId="5" xfId="0" applyNumberFormat="1" applyFont="1" applyBorder="1" applyAlignment="1" applyProtection="1">
      <alignment horizontal="center" vertical="top" wrapText="1"/>
      <protection locked="0"/>
    </xf>
    <xf numFmtId="0" fontId="87" fillId="0" borderId="2" xfId="0" applyFont="1" applyBorder="1" applyAlignment="1">
      <alignment horizontal="left" vertical="top" wrapText="1"/>
    </xf>
    <xf numFmtId="0" fontId="85" fillId="0" borderId="3" xfId="0" applyFont="1" applyBorder="1" applyAlignment="1">
      <alignment horizontal="center" vertical="top" wrapText="1"/>
    </xf>
    <xf numFmtId="0" fontId="85" fillId="0" borderId="41" xfId="0" applyFont="1" applyBorder="1" applyAlignment="1">
      <alignment horizontal="center" vertical="top" wrapText="1"/>
    </xf>
    <xf numFmtId="0" fontId="85" fillId="0" borderId="24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86" fillId="0" borderId="0" xfId="0" applyFont="1" applyBorder="1" applyAlignment="1">
      <alignment horizontal="right"/>
    </xf>
    <xf numFmtId="0" fontId="86" fillId="0" borderId="36" xfId="0" applyFont="1" applyBorder="1" applyAlignment="1">
      <alignment vertical="top" wrapText="1"/>
    </xf>
    <xf numFmtId="0" fontId="86" fillId="0" borderId="5" xfId="0" applyFont="1" applyBorder="1" applyAlignment="1">
      <alignment vertical="top" wrapText="1"/>
    </xf>
    <xf numFmtId="0" fontId="86" fillId="0" borderId="29" xfId="0" applyFont="1" applyBorder="1" applyAlignment="1">
      <alignment vertical="top" wrapText="1"/>
    </xf>
    <xf numFmtId="0" fontId="86" fillId="0" borderId="62" xfId="0" applyFont="1" applyBorder="1" applyAlignment="1">
      <alignment vertical="top" wrapText="1"/>
    </xf>
    <xf numFmtId="0" fontId="86" fillId="0" borderId="2" xfId="0" applyFont="1" applyBorder="1" applyAlignment="1">
      <alignment vertical="top" wrapText="1"/>
    </xf>
    <xf numFmtId="0" fontId="86" fillId="0" borderId="38" xfId="0" applyFont="1" applyBorder="1" applyAlignment="1">
      <alignment vertical="top" wrapText="1"/>
    </xf>
    <xf numFmtId="0" fontId="86" fillId="0" borderId="37" xfId="0" applyFont="1" applyBorder="1" applyAlignment="1">
      <alignment horizontal="center" vertical="top" wrapText="1"/>
    </xf>
    <xf numFmtId="0" fontId="86" fillId="0" borderId="19" xfId="0" applyFont="1" applyBorder="1" applyAlignment="1">
      <alignment horizontal="center" vertical="top" wrapText="1"/>
    </xf>
    <xf numFmtId="0" fontId="86" fillId="0" borderId="30" xfId="0" applyFont="1" applyBorder="1" applyAlignment="1">
      <alignment horizontal="center" vertical="top" wrapText="1"/>
    </xf>
    <xf numFmtId="0" fontId="86" fillId="0" borderId="6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center" vertical="top" wrapText="1"/>
    </xf>
    <xf numFmtId="0" fontId="86" fillId="0" borderId="38" xfId="0" applyFont="1" applyBorder="1" applyAlignment="1">
      <alignment horizontal="center" vertical="top" wrapText="1"/>
    </xf>
    <xf numFmtId="0" fontId="86" fillId="0" borderId="64" xfId="0" applyFont="1" applyBorder="1" applyAlignment="1">
      <alignment horizontal="center" vertical="top" wrapText="1"/>
    </xf>
    <xf numFmtId="0" fontId="86" fillId="0" borderId="73" xfId="0" applyFont="1" applyBorder="1" applyAlignment="1">
      <alignment horizontal="center" vertical="top" wrapText="1"/>
    </xf>
    <xf numFmtId="0" fontId="86" fillId="0" borderId="66" xfId="0" applyFont="1" applyBorder="1" applyAlignment="1">
      <alignment horizontal="center" vertical="top" wrapText="1"/>
    </xf>
    <xf numFmtId="0" fontId="85" fillId="0" borderId="0" xfId="0" applyFont="1" applyAlignment="1">
      <alignment horizontal="right"/>
    </xf>
    <xf numFmtId="0" fontId="85" fillId="0" borderId="5" xfId="0" applyFont="1" applyBorder="1" applyAlignment="1">
      <alignment horizontal="center" vertical="top" wrapText="1"/>
    </xf>
    <xf numFmtId="0" fontId="87" fillId="0" borderId="2" xfId="0" applyFont="1" applyBorder="1" applyAlignment="1">
      <alignment vertical="top" wrapText="1"/>
    </xf>
    <xf numFmtId="0" fontId="33" fillId="19" borderId="21" xfId="0" applyFont="1" applyFill="1" applyBorder="1" applyAlignment="1">
      <alignment horizontal="left" vertical="top" wrapText="1"/>
    </xf>
    <xf numFmtId="0" fontId="33" fillId="19" borderId="24" xfId="0" applyFont="1" applyFill="1" applyBorder="1" applyAlignment="1">
      <alignment horizontal="left" vertical="top" wrapText="1"/>
    </xf>
    <xf numFmtId="0" fontId="33" fillId="19" borderId="67" xfId="0" applyFont="1" applyFill="1" applyBorder="1" applyAlignment="1">
      <alignment horizontal="left" vertical="top" wrapText="1"/>
    </xf>
    <xf numFmtId="0" fontId="85" fillId="19" borderId="5" xfId="0" applyFont="1" applyFill="1" applyBorder="1" applyAlignment="1">
      <alignment horizontal="left"/>
    </xf>
    <xf numFmtId="0" fontId="85" fillId="19" borderId="2" xfId="0" applyFont="1" applyFill="1" applyBorder="1" applyAlignment="1">
      <alignment horizontal="left"/>
    </xf>
    <xf numFmtId="0" fontId="85" fillId="19" borderId="11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 wrapText="1"/>
    </xf>
    <xf numFmtId="0" fontId="85" fillId="19" borderId="29" xfId="0" applyFont="1" applyFill="1" applyBorder="1" applyAlignment="1">
      <alignment horizontal="left" wrapText="1"/>
    </xf>
    <xf numFmtId="0" fontId="85" fillId="19" borderId="38" xfId="0" applyFont="1" applyFill="1" applyBorder="1" applyAlignment="1">
      <alignment horizontal="left" wrapText="1"/>
    </xf>
    <xf numFmtId="0" fontId="85" fillId="19" borderId="69" xfId="0" applyFont="1" applyFill="1" applyBorder="1" applyAlignment="1">
      <alignment horizontal="left" wrapText="1"/>
    </xf>
    <xf numFmtId="0" fontId="84" fillId="19" borderId="5" xfId="0" applyFont="1" applyFill="1" applyBorder="1" applyAlignment="1">
      <alignment horizontal="left" vertical="top" wrapText="1"/>
    </xf>
    <xf numFmtId="0" fontId="84" fillId="19" borderId="2" xfId="0" applyFont="1" applyFill="1" applyBorder="1" applyAlignment="1">
      <alignment horizontal="left" vertical="top" wrapText="1"/>
    </xf>
    <xf numFmtId="0" fontId="84" fillId="19" borderId="11" xfId="0" applyFont="1" applyFill="1" applyBorder="1" applyAlignment="1">
      <alignment horizontal="left" vertical="top" wrapText="1"/>
    </xf>
    <xf numFmtId="0" fontId="84" fillId="19" borderId="21" xfId="0" applyFont="1" applyFill="1" applyBorder="1" applyAlignment="1">
      <alignment horizontal="left" vertical="top" wrapText="1"/>
    </xf>
    <xf numFmtId="0" fontId="84" fillId="19" borderId="24" xfId="0" applyFont="1" applyFill="1" applyBorder="1" applyAlignment="1">
      <alignment horizontal="left" vertical="top" wrapText="1"/>
    </xf>
    <xf numFmtId="0" fontId="84" fillId="19" borderId="67" xfId="0" applyFont="1" applyFill="1" applyBorder="1" applyAlignment="1">
      <alignment horizontal="left" vertical="top" wrapText="1"/>
    </xf>
    <xf numFmtId="0" fontId="85" fillId="19" borderId="16" xfId="0" applyFont="1" applyFill="1" applyBorder="1" applyAlignment="1">
      <alignment horizontal="left" wrapText="1"/>
    </xf>
    <xf numFmtId="0" fontId="85" fillId="19" borderId="59" xfId="0" applyFont="1" applyFill="1" applyBorder="1" applyAlignment="1">
      <alignment horizontal="left" wrapText="1"/>
    </xf>
    <xf numFmtId="0" fontId="85" fillId="19" borderId="68" xfId="0" applyFont="1" applyFill="1" applyBorder="1" applyAlignment="1">
      <alignment horizontal="left" wrapText="1"/>
    </xf>
    <xf numFmtId="0" fontId="33" fillId="19" borderId="5" xfId="0" applyFont="1" applyFill="1" applyBorder="1" applyAlignment="1">
      <alignment horizontal="left" vertical="top" wrapText="1"/>
    </xf>
    <xf numFmtId="0" fontId="33" fillId="19" borderId="2" xfId="0" applyFont="1" applyFill="1" applyBorder="1" applyAlignment="1">
      <alignment horizontal="left" vertical="top" wrapText="1"/>
    </xf>
    <xf numFmtId="0" fontId="33" fillId="19" borderId="11" xfId="0" applyFont="1" applyFill="1" applyBorder="1" applyAlignment="1">
      <alignment horizontal="left" vertical="top" wrapText="1"/>
    </xf>
    <xf numFmtId="0" fontId="86" fillId="19" borderId="5" xfId="0" applyFont="1" applyFill="1" applyBorder="1" applyAlignment="1">
      <alignment horizontal="left" vertical="top" wrapText="1"/>
    </xf>
    <xf numFmtId="0" fontId="86" fillId="19" borderId="2" xfId="0" applyFont="1" applyFill="1" applyBorder="1" applyAlignment="1">
      <alignment horizontal="left" vertical="top" wrapText="1"/>
    </xf>
    <xf numFmtId="0" fontId="86" fillId="19" borderId="11" xfId="0" applyFont="1" applyFill="1" applyBorder="1" applyAlignment="1">
      <alignment horizontal="left" vertical="top" wrapText="1"/>
    </xf>
    <xf numFmtId="0" fontId="87" fillId="0" borderId="0" xfId="0" applyFont="1" applyAlignment="1">
      <alignment horizontal="right"/>
    </xf>
    <xf numFmtId="0" fontId="84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/>
    </xf>
    <xf numFmtId="49" fontId="34" fillId="0" borderId="64" xfId="0" applyNumberFormat="1" applyFont="1" applyBorder="1" applyAlignment="1">
      <alignment horizontal="center" vertical="center" wrapText="1"/>
    </xf>
    <xf numFmtId="49" fontId="34" fillId="0" borderId="71" xfId="0" applyNumberFormat="1" applyFont="1" applyBorder="1" applyAlignment="1">
      <alignment horizontal="center" vertical="center" wrapText="1"/>
    </xf>
    <xf numFmtId="49" fontId="84" fillId="19" borderId="36" xfId="0" applyNumberFormat="1" applyFont="1" applyFill="1" applyBorder="1" applyAlignment="1">
      <alignment horizontal="center" vertical="center"/>
    </xf>
    <xf numFmtId="49" fontId="84" fillId="19" borderId="62" xfId="0" applyNumberFormat="1" applyFont="1" applyFill="1" applyBorder="1" applyAlignment="1">
      <alignment horizontal="center" vertical="center"/>
    </xf>
    <xf numFmtId="49" fontId="84" fillId="19" borderId="29" xfId="0" applyNumberFormat="1" applyFont="1" applyFill="1" applyBorder="1" applyAlignment="1">
      <alignment horizontal="center" vertical="center"/>
    </xf>
    <xf numFmtId="49" fontId="84" fillId="19" borderId="38" xfId="0" applyNumberFormat="1" applyFont="1" applyFill="1" applyBorder="1" applyAlignment="1">
      <alignment horizontal="center" vertical="center"/>
    </xf>
    <xf numFmtId="0" fontId="23" fillId="19" borderId="6" xfId="0" applyFont="1" applyFill="1" applyBorder="1" applyAlignment="1">
      <alignment horizontal="left" vertical="top" wrapText="1"/>
    </xf>
    <xf numFmtId="0" fontId="23" fillId="19" borderId="14" xfId="0" applyFont="1" applyFill="1" applyBorder="1" applyAlignment="1">
      <alignment horizontal="left" vertical="top" wrapText="1"/>
    </xf>
    <xf numFmtId="0" fontId="23" fillId="19" borderId="10" xfId="0" applyFont="1" applyFill="1" applyBorder="1" applyAlignment="1">
      <alignment horizontal="left" vertical="top" wrapText="1"/>
    </xf>
    <xf numFmtId="0" fontId="84" fillId="19" borderId="17" xfId="0" applyFont="1" applyFill="1" applyBorder="1" applyAlignment="1">
      <alignment horizontal="left" vertical="top" wrapText="1"/>
    </xf>
    <xf numFmtId="0" fontId="84" fillId="19" borderId="42" xfId="0" applyFont="1" applyFill="1" applyBorder="1" applyAlignment="1">
      <alignment horizontal="left" vertical="top" wrapText="1"/>
    </xf>
    <xf numFmtId="0" fontId="86" fillId="19" borderId="5" xfId="0" applyFont="1" applyFill="1" applyBorder="1" applyAlignment="1">
      <alignment vertical="top" wrapText="1"/>
    </xf>
    <xf numFmtId="0" fontId="86" fillId="19" borderId="2" xfId="0" applyFont="1" applyFill="1" applyBorder="1" applyAlignment="1">
      <alignment vertical="top" wrapText="1"/>
    </xf>
    <xf numFmtId="0" fontId="86" fillId="19" borderId="11" xfId="0" applyFont="1" applyFill="1" applyBorder="1" applyAlignment="1">
      <alignment vertical="top" wrapText="1"/>
    </xf>
    <xf numFmtId="0" fontId="86" fillId="19" borderId="7" xfId="0" applyFont="1" applyFill="1" applyBorder="1" applyAlignment="1">
      <alignment vertical="top" wrapText="1"/>
    </xf>
    <xf numFmtId="0" fontId="86" fillId="19" borderId="3" xfId="0" applyFont="1" applyFill="1" applyBorder="1" applyAlignment="1">
      <alignment vertical="top" wrapText="1"/>
    </xf>
    <xf numFmtId="0" fontId="86" fillId="19" borderId="12" xfId="0" applyFont="1" applyFill="1" applyBorder="1" applyAlignment="1">
      <alignment vertical="top" wrapText="1"/>
    </xf>
    <xf numFmtId="49" fontId="84" fillId="19" borderId="4" xfId="0" applyNumberFormat="1" applyFont="1" applyFill="1" applyBorder="1" applyAlignment="1">
      <alignment horizontal="left"/>
    </xf>
    <xf numFmtId="49" fontId="84" fillId="19" borderId="8" xfId="0" applyNumberFormat="1" applyFont="1" applyFill="1" applyBorder="1" applyAlignment="1">
      <alignment horizontal="left"/>
    </xf>
    <xf numFmtId="0" fontId="85" fillId="0" borderId="5" xfId="0" applyFont="1" applyBorder="1" applyAlignment="1">
      <alignment horizontal="left"/>
    </xf>
    <xf numFmtId="0" fontId="85" fillId="0" borderId="2" xfId="0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5" fillId="0" borderId="29" xfId="0" applyFont="1" applyBorder="1" applyAlignment="1">
      <alignment horizontal="left" wrapText="1"/>
    </xf>
    <xf numFmtId="0" fontId="85" fillId="0" borderId="38" xfId="0" applyFont="1" applyBorder="1" applyAlignment="1">
      <alignment horizontal="left" wrapText="1"/>
    </xf>
    <xf numFmtId="0" fontId="85" fillId="0" borderId="69" xfId="0" applyFont="1" applyBorder="1" applyAlignment="1">
      <alignment horizontal="left" wrapText="1"/>
    </xf>
    <xf numFmtId="49" fontId="84" fillId="0" borderId="39" xfId="0" applyNumberFormat="1" applyFont="1" applyBorder="1" applyAlignment="1">
      <alignment horizontal="center"/>
    </xf>
    <xf numFmtId="49" fontId="84" fillId="0" borderId="5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84" fillId="0" borderId="21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84" fillId="0" borderId="67" xfId="0" applyFont="1" applyBorder="1" applyAlignment="1">
      <alignment horizontal="left" vertical="top" wrapText="1"/>
    </xf>
    <xf numFmtId="0" fontId="84" fillId="0" borderId="5" xfId="0" applyFont="1" applyBorder="1" applyAlignment="1">
      <alignment horizontal="left" vertical="top" wrapText="1"/>
    </xf>
    <xf numFmtId="0" fontId="84" fillId="0" borderId="2" xfId="0" applyFont="1" applyBorder="1" applyAlignment="1">
      <alignment horizontal="left" vertical="top" wrapText="1"/>
    </xf>
    <xf numFmtId="0" fontId="84" fillId="0" borderId="11" xfId="0" applyFont="1" applyBorder="1" applyAlignment="1">
      <alignment horizontal="left" vertical="top" wrapText="1"/>
    </xf>
    <xf numFmtId="0" fontId="84" fillId="0" borderId="5" xfId="0" applyFont="1" applyFill="1" applyBorder="1" applyAlignment="1">
      <alignment horizontal="left" vertical="top" wrapText="1"/>
    </xf>
    <xf numFmtId="0" fontId="84" fillId="0" borderId="2" xfId="0" applyFont="1" applyFill="1" applyBorder="1" applyAlignment="1">
      <alignment horizontal="left" vertical="top" wrapText="1"/>
    </xf>
    <xf numFmtId="0" fontId="84" fillId="0" borderId="11" xfId="0" applyFont="1" applyFill="1" applyBorder="1" applyAlignment="1">
      <alignment horizontal="left" vertical="top" wrapText="1"/>
    </xf>
    <xf numFmtId="0" fontId="86" fillId="0" borderId="5" xfId="0" applyFont="1" applyBorder="1" applyAlignment="1">
      <alignment horizontal="left" vertical="top" wrapText="1"/>
    </xf>
    <xf numFmtId="0" fontId="86" fillId="0" borderId="2" xfId="0" applyFont="1" applyBorder="1" applyAlignment="1">
      <alignment horizontal="left" vertical="top" wrapText="1"/>
    </xf>
    <xf numFmtId="0" fontId="86" fillId="0" borderId="11" xfId="0" applyFont="1" applyBorder="1" applyAlignment="1">
      <alignment horizontal="left" vertical="top" wrapText="1"/>
    </xf>
    <xf numFmtId="0" fontId="86" fillId="0" borderId="11" xfId="0" applyFont="1" applyBorder="1" applyAlignment="1">
      <alignment vertical="top" wrapText="1"/>
    </xf>
    <xf numFmtId="0" fontId="86" fillId="0" borderId="7" xfId="0" applyFont="1" applyBorder="1" applyAlignment="1">
      <alignment vertical="top" wrapText="1"/>
    </xf>
    <xf numFmtId="0" fontId="86" fillId="0" borderId="3" xfId="0" applyFont="1" applyBorder="1" applyAlignment="1">
      <alignment vertical="top" wrapText="1"/>
    </xf>
    <xf numFmtId="0" fontId="86" fillId="0" borderId="12" xfId="0" applyFont="1" applyBorder="1" applyAlignment="1">
      <alignment vertical="top" wrapText="1"/>
    </xf>
    <xf numFmtId="49" fontId="84" fillId="0" borderId="4" xfId="0" applyNumberFormat="1" applyFont="1" applyBorder="1" applyAlignment="1">
      <alignment horizontal="left"/>
    </xf>
    <xf numFmtId="49" fontId="84" fillId="0" borderId="8" xfId="0" applyNumberFormat="1" applyFont="1" applyBorder="1" applyAlignment="1">
      <alignment horizontal="left"/>
    </xf>
    <xf numFmtId="49" fontId="84" fillId="0" borderId="43" xfId="0" applyNumberFormat="1" applyFont="1" applyBorder="1" applyAlignment="1">
      <alignment horizontal="left"/>
    </xf>
    <xf numFmtId="49" fontId="84" fillId="0" borderId="39" xfId="0" applyNumberFormat="1" applyFont="1" applyBorder="1" applyAlignment="1">
      <alignment horizontal="left"/>
    </xf>
    <xf numFmtId="0" fontId="84" fillId="0" borderId="4" xfId="0" applyFont="1" applyBorder="1" applyAlignment="1">
      <alignment horizontal="left" vertical="top" wrapText="1"/>
    </xf>
    <xf numFmtId="0" fontId="84" fillId="0" borderId="8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33" fillId="0" borderId="67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84" fillId="0" borderId="0" xfId="0" applyFont="1" applyAlignment="1">
      <alignment horizontal="center" vertical="center" wrapText="1"/>
    </xf>
    <xf numFmtId="0" fontId="9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49" fontId="31" fillId="0" borderId="0" xfId="0" applyNumberFormat="1" applyFont="1" applyAlignment="1" applyProtection="1">
      <alignment horizontal="right"/>
      <protection locked="0"/>
    </xf>
    <xf numFmtId="49" fontId="28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4" workbookViewId="0">
      <selection activeCell="B9" sqref="B9"/>
    </sheetView>
  </sheetViews>
  <sheetFormatPr defaultRowHeight="12.75" x14ac:dyDescent="0.2"/>
  <cols>
    <col min="1" max="1" width="65.85546875" customWidth="1"/>
    <col min="4" max="4" width="12.85546875" customWidth="1"/>
    <col min="5" max="5" width="11" customWidth="1"/>
    <col min="6" max="6" width="9.5703125" bestFit="1" customWidth="1"/>
  </cols>
  <sheetData>
    <row r="1" spans="1:7" x14ac:dyDescent="0.2">
      <c r="D1" s="2978" t="s">
        <v>951</v>
      </c>
      <c r="E1" s="2978"/>
      <c r="F1" s="2978"/>
      <c r="G1" s="2978"/>
    </row>
    <row r="2" spans="1:7" x14ac:dyDescent="0.2">
      <c r="A2" s="2979" t="s">
        <v>956</v>
      </c>
      <c r="B2" s="2979"/>
      <c r="C2" s="2979"/>
      <c r="D2" s="2979"/>
      <c r="E2" s="2979"/>
      <c r="F2" s="2979"/>
      <c r="G2" s="2979"/>
    </row>
    <row r="3" spans="1:7" x14ac:dyDescent="0.2">
      <c r="A3" s="30"/>
      <c r="B3" s="30"/>
      <c r="C3" s="30" t="s">
        <v>955</v>
      </c>
      <c r="D3" s="173"/>
      <c r="E3" s="30" t="s">
        <v>954</v>
      </c>
      <c r="F3" s="2992">
        <v>39374</v>
      </c>
      <c r="G3" s="2978"/>
    </row>
    <row r="4" spans="1:7" ht="15.75" x14ac:dyDescent="0.25">
      <c r="A4" s="2980" t="s">
        <v>952</v>
      </c>
      <c r="B4" s="2981"/>
      <c r="C4" s="2981"/>
      <c r="D4" s="2981"/>
      <c r="E4" s="2981"/>
      <c r="F4" s="2981"/>
      <c r="G4" s="2981"/>
    </row>
    <row r="5" spans="1:7" ht="15.75" x14ac:dyDescent="0.25">
      <c r="A5" s="2993" t="s">
        <v>957</v>
      </c>
      <c r="B5" s="2993"/>
      <c r="C5" s="2993"/>
      <c r="D5" s="2993"/>
      <c r="E5" s="2993"/>
      <c r="F5" s="2993"/>
      <c r="G5" s="2993"/>
    </row>
    <row r="6" spans="1:7" ht="15.75" x14ac:dyDescent="0.25">
      <c r="A6" s="2991" t="s">
        <v>953</v>
      </c>
      <c r="B6" s="2991"/>
      <c r="C6" s="2991"/>
      <c r="D6" s="2991"/>
      <c r="E6" s="2991"/>
      <c r="F6" s="2991"/>
      <c r="G6" s="2991"/>
    </row>
    <row r="7" spans="1:7" ht="40.5" customHeight="1" x14ac:dyDescent="0.2">
      <c r="A7" s="2982" t="s">
        <v>698</v>
      </c>
      <c r="B7" s="2985" t="s">
        <v>699</v>
      </c>
      <c r="C7" s="2986"/>
      <c r="D7" s="157" t="s">
        <v>700</v>
      </c>
      <c r="E7" s="157" t="s">
        <v>701</v>
      </c>
      <c r="F7" s="2989" t="s">
        <v>188</v>
      </c>
      <c r="G7" s="2990"/>
    </row>
    <row r="8" spans="1:7" ht="24" customHeight="1" x14ac:dyDescent="0.2">
      <c r="A8" s="2983"/>
      <c r="B8" s="2987">
        <v>2006</v>
      </c>
      <c r="C8" s="2988"/>
      <c r="D8" s="158">
        <v>2007</v>
      </c>
      <c r="E8" s="158">
        <v>2008</v>
      </c>
      <c r="F8" s="159">
        <v>2009</v>
      </c>
      <c r="G8" s="159">
        <v>2010</v>
      </c>
    </row>
    <row r="9" spans="1:7" ht="36" x14ac:dyDescent="0.2">
      <c r="A9" s="2984"/>
      <c r="B9" s="160" t="s">
        <v>190</v>
      </c>
      <c r="C9" s="160" t="s">
        <v>697</v>
      </c>
      <c r="D9" s="160" t="s">
        <v>190</v>
      </c>
      <c r="E9" s="160" t="s">
        <v>189</v>
      </c>
      <c r="F9" s="160" t="s">
        <v>189</v>
      </c>
      <c r="G9" s="160" t="s">
        <v>189</v>
      </c>
    </row>
    <row r="10" spans="1:7" x14ac:dyDescent="0.2">
      <c r="A10" s="161" t="s">
        <v>947</v>
      </c>
      <c r="B10" s="166">
        <f t="shared" ref="B10:G10" si="0">SUM(B12:B14)</f>
        <v>65826</v>
      </c>
      <c r="C10" s="166">
        <f t="shared" si="0"/>
        <v>65963</v>
      </c>
      <c r="D10" s="166">
        <f t="shared" si="0"/>
        <v>68447</v>
      </c>
      <c r="E10" s="166" t="e">
        <f t="shared" si="0"/>
        <v>#REF!</v>
      </c>
      <c r="F10" s="170">
        <f t="shared" si="0"/>
        <v>82403.600000000006</v>
      </c>
      <c r="G10" s="170">
        <f t="shared" si="0"/>
        <v>89697.560000000012</v>
      </c>
    </row>
    <row r="11" spans="1:7" x14ac:dyDescent="0.2">
      <c r="A11" s="162" t="s">
        <v>948</v>
      </c>
      <c r="B11" s="156"/>
      <c r="C11" s="156"/>
      <c r="D11" s="156"/>
      <c r="E11" s="156"/>
      <c r="F11" s="156"/>
      <c r="G11" s="156"/>
    </row>
    <row r="12" spans="1:7" x14ac:dyDescent="0.2">
      <c r="A12" s="163" t="s">
        <v>949</v>
      </c>
      <c r="B12" s="156">
        <v>53375</v>
      </c>
      <c r="C12" s="156">
        <v>53512</v>
      </c>
      <c r="D12" s="156">
        <v>48679</v>
      </c>
      <c r="E12" s="156">
        <v>55109</v>
      </c>
      <c r="F12" s="169">
        <f>E12*110%</f>
        <v>60619.9</v>
      </c>
      <c r="G12" s="169">
        <f>F12*110%</f>
        <v>66681.890000000014</v>
      </c>
    </row>
    <row r="13" spans="1:7" x14ac:dyDescent="0.2">
      <c r="A13" s="163" t="s">
        <v>950</v>
      </c>
      <c r="B13" s="156">
        <v>2807</v>
      </c>
      <c r="C13" s="156">
        <v>2807</v>
      </c>
      <c r="D13" s="156">
        <v>7268</v>
      </c>
      <c r="E13" s="156">
        <v>8527</v>
      </c>
      <c r="F13" s="169">
        <f>E13*110%</f>
        <v>9379.7000000000007</v>
      </c>
      <c r="G13" s="169">
        <f>F13*110%</f>
        <v>10317.670000000002</v>
      </c>
    </row>
    <row r="14" spans="1:7" x14ac:dyDescent="0.2">
      <c r="A14" s="163" t="s">
        <v>646</v>
      </c>
      <c r="B14" s="156">
        <v>9644</v>
      </c>
      <c r="C14" s="156">
        <v>9644</v>
      </c>
      <c r="D14" s="156">
        <v>12500</v>
      </c>
      <c r="E14" s="156" t="e">
        <f>#REF!</f>
        <v>#REF!</v>
      </c>
      <c r="F14" s="156">
        <v>12404</v>
      </c>
      <c r="G14" s="156">
        <v>12698</v>
      </c>
    </row>
    <row r="15" spans="1:7" x14ac:dyDescent="0.2">
      <c r="A15" s="162" t="s">
        <v>948</v>
      </c>
      <c r="B15" s="156"/>
      <c r="C15" s="156"/>
      <c r="D15" s="156"/>
      <c r="E15" s="156"/>
      <c r="F15" s="156"/>
      <c r="G15" s="156"/>
    </row>
    <row r="16" spans="1:7" ht="15.75" customHeight="1" x14ac:dyDescent="0.2">
      <c r="A16" s="162" t="s">
        <v>647</v>
      </c>
      <c r="B16" s="156"/>
      <c r="C16" s="156"/>
      <c r="D16" s="156">
        <v>0</v>
      </c>
      <c r="E16" s="156"/>
      <c r="F16" s="156"/>
      <c r="G16" s="156"/>
    </row>
    <row r="17" spans="1:7" x14ac:dyDescent="0.2">
      <c r="A17" s="163" t="s">
        <v>648</v>
      </c>
      <c r="B17" s="156"/>
      <c r="C17" s="156"/>
      <c r="D17" s="156"/>
      <c r="E17" s="156"/>
      <c r="F17" s="156"/>
      <c r="G17" s="156"/>
    </row>
    <row r="18" spans="1:7" ht="14.25" customHeight="1" x14ac:dyDescent="0.2">
      <c r="A18" s="163" t="s">
        <v>649</v>
      </c>
      <c r="B18" s="156"/>
      <c r="C18" s="156"/>
      <c r="D18" s="156">
        <v>0</v>
      </c>
      <c r="E18" s="156"/>
      <c r="F18" s="156"/>
      <c r="G18" s="156"/>
    </row>
    <row r="19" spans="1:7" x14ac:dyDescent="0.2">
      <c r="A19" s="161" t="s">
        <v>650</v>
      </c>
      <c r="B19" s="166">
        <f t="shared" ref="B19:G19" si="1">B20+B25+B26+B27+B28+B29+B30+B31</f>
        <v>66426</v>
      </c>
      <c r="C19" s="166">
        <f t="shared" si="1"/>
        <v>66163</v>
      </c>
      <c r="D19" s="166">
        <f t="shared" si="1"/>
        <v>69548</v>
      </c>
      <c r="E19" s="166" t="e">
        <f t="shared" si="1"/>
        <v>#REF!</v>
      </c>
      <c r="F19" s="170" t="e">
        <f t="shared" si="1"/>
        <v>#REF!</v>
      </c>
      <c r="G19" s="170" t="e">
        <f t="shared" si="1"/>
        <v>#REF!</v>
      </c>
    </row>
    <row r="20" spans="1:7" x14ac:dyDescent="0.2">
      <c r="A20" s="163" t="s">
        <v>651</v>
      </c>
      <c r="B20" s="156">
        <v>12028</v>
      </c>
      <c r="C20" s="156">
        <v>12027</v>
      </c>
      <c r="D20" s="156">
        <v>14091</v>
      </c>
      <c r="E20" s="156" t="e">
        <f>'ВЕД.СТ Пр.2.'!#REF!</f>
        <v>#REF!</v>
      </c>
      <c r="F20" s="169" t="e">
        <f>'ВЕД.СТ Пр.2.'!#REF!</f>
        <v>#REF!</v>
      </c>
      <c r="G20" s="169" t="e">
        <f>'ВЕД.СТ Пр.2.'!#REF!</f>
        <v>#REF!</v>
      </c>
    </row>
    <row r="21" spans="1:7" x14ac:dyDescent="0.2">
      <c r="A21" s="162" t="s">
        <v>948</v>
      </c>
      <c r="B21" s="156"/>
      <c r="C21" s="156"/>
      <c r="D21" s="156"/>
      <c r="E21" s="156"/>
      <c r="F21" s="156"/>
      <c r="G21" s="156"/>
    </row>
    <row r="22" spans="1:7" x14ac:dyDescent="0.2">
      <c r="A22" s="163" t="s">
        <v>662</v>
      </c>
      <c r="B22" s="156">
        <v>11527</v>
      </c>
      <c r="C22" s="156">
        <v>11526</v>
      </c>
      <c r="D22" s="156">
        <v>12837</v>
      </c>
      <c r="E22" s="169" t="e">
        <f>'ВЕД.СТ Пр.2.'!#REF!+'ВЕД.СТ Пр.2.'!#REF!+'ВЕД.СТ Пр.2.'!#REF!</f>
        <v>#REF!</v>
      </c>
      <c r="F22" s="169" t="e">
        <f>'ВЕД.СТ Пр.2.'!#REF!+'ВЕД.СТ Пр.2.'!#REF!+'ВЕД.СТ Пр.2.'!#REF!</f>
        <v>#REF!</v>
      </c>
      <c r="G22" s="169" t="e">
        <f>'ВЕД.СТ Пр.2.'!#REF!+'ВЕД.СТ Пр.2.'!#REF!+'ВЕД.СТ Пр.2.'!#REF!</f>
        <v>#REF!</v>
      </c>
    </row>
    <row r="23" spans="1:7" x14ac:dyDescent="0.2">
      <c r="A23" s="163" t="s">
        <v>199</v>
      </c>
      <c r="B23" s="156"/>
      <c r="C23" s="156"/>
      <c r="D23" s="156"/>
      <c r="E23" s="156"/>
      <c r="F23" s="156"/>
      <c r="G23" s="156"/>
    </row>
    <row r="24" spans="1:7" x14ac:dyDescent="0.2">
      <c r="A24" s="163" t="s">
        <v>663</v>
      </c>
      <c r="B24" s="156"/>
      <c r="C24" s="156"/>
      <c r="D24" s="156"/>
      <c r="E24" s="156" t="e">
        <f>'ВЕД.СТ Пр.2.'!#REF!</f>
        <v>#REF!</v>
      </c>
      <c r="F24" s="156" t="e">
        <f>'ВЕД.СТ Пр.2.'!#REF!</f>
        <v>#REF!</v>
      </c>
      <c r="G24" s="169" t="e">
        <f>'ВЕД.СТ Пр.2.'!#REF!</f>
        <v>#REF!</v>
      </c>
    </row>
    <row r="25" spans="1:7" ht="12" customHeight="1" x14ac:dyDescent="0.2">
      <c r="A25" s="163" t="s">
        <v>664</v>
      </c>
      <c r="B25" s="156">
        <v>505</v>
      </c>
      <c r="C25" s="156">
        <v>505</v>
      </c>
      <c r="D25" s="156">
        <v>523</v>
      </c>
      <c r="E25" s="156" t="e">
        <f>'ВЕД.СТ Пр.2.'!#REF!</f>
        <v>#REF!</v>
      </c>
      <c r="F25" s="156" t="e">
        <f>'ВЕД.СТ Пр.2.'!#REF!</f>
        <v>#REF!</v>
      </c>
      <c r="G25" s="169" t="e">
        <f>'ВЕД.СТ Пр.2.'!#REF!</f>
        <v>#REF!</v>
      </c>
    </row>
    <row r="26" spans="1:7" x14ac:dyDescent="0.2">
      <c r="A26" s="163" t="s">
        <v>665</v>
      </c>
      <c r="B26" s="156">
        <v>46640</v>
      </c>
      <c r="C26" s="156">
        <v>46639</v>
      </c>
      <c r="D26" s="156">
        <v>43510</v>
      </c>
      <c r="E26" s="156" t="e">
        <f>'ВЕД.СТ Пр.2.'!#REF!</f>
        <v>#REF!</v>
      </c>
      <c r="F26" s="169" t="e">
        <f>'ВЕД.СТ Пр.2.'!#REF!</f>
        <v>#REF!</v>
      </c>
      <c r="G26" s="169" t="e">
        <f>'ВЕД.СТ Пр.2.'!#REF!</f>
        <v>#REF!</v>
      </c>
    </row>
    <row r="27" spans="1:7" x14ac:dyDescent="0.2">
      <c r="A27" s="163" t="s">
        <v>666</v>
      </c>
      <c r="B27" s="156"/>
      <c r="C27" s="156"/>
      <c r="D27" s="156"/>
      <c r="E27" s="156"/>
      <c r="F27" s="169"/>
      <c r="G27" s="169"/>
    </row>
    <row r="28" spans="1:7" x14ac:dyDescent="0.2">
      <c r="A28" s="163" t="s">
        <v>667</v>
      </c>
      <c r="B28" s="156">
        <v>2010</v>
      </c>
      <c r="C28" s="156">
        <v>2010</v>
      </c>
      <c r="D28" s="156">
        <v>2466</v>
      </c>
      <c r="E28" s="156" t="e">
        <f>'ВЕД.СТ Пр.2.'!#REF!</f>
        <v>#REF!</v>
      </c>
      <c r="F28" s="169" t="e">
        <f>'ВЕД.СТ Пр.2.'!#REF!</f>
        <v>#REF!</v>
      </c>
      <c r="G28" s="169" t="e">
        <f>'ВЕД.СТ Пр.2.'!#REF!</f>
        <v>#REF!</v>
      </c>
    </row>
    <row r="29" spans="1:7" ht="13.5" customHeight="1" x14ac:dyDescent="0.2">
      <c r="A29" s="163" t="s">
        <v>668</v>
      </c>
      <c r="B29" s="156">
        <v>2061</v>
      </c>
      <c r="C29" s="156">
        <v>2057</v>
      </c>
      <c r="D29" s="156">
        <v>3529</v>
      </c>
      <c r="E29" s="156" t="e">
        <f>'ВЕД.СТ Пр.2.'!#REF!</f>
        <v>#REF!</v>
      </c>
      <c r="F29" s="169" t="e">
        <f>'ВЕД.СТ Пр.2.'!#REF!</f>
        <v>#REF!</v>
      </c>
      <c r="G29" s="169" t="e">
        <f>'ВЕД.СТ Пр.2.'!#REF!</f>
        <v>#REF!</v>
      </c>
    </row>
    <row r="30" spans="1:7" x14ac:dyDescent="0.2">
      <c r="A30" s="165" t="s">
        <v>196</v>
      </c>
      <c r="B30" s="156">
        <v>842</v>
      </c>
      <c r="C30" s="156">
        <v>842</v>
      </c>
      <c r="D30" s="156">
        <v>407</v>
      </c>
      <c r="E30" s="156" t="e">
        <f>'ВЕД.СТ Пр.2.'!#REF!</f>
        <v>#REF!</v>
      </c>
      <c r="F30" s="169" t="e">
        <f>'ВЕД.СТ Пр.2.'!#REF!</f>
        <v>#REF!</v>
      </c>
      <c r="G30" s="169" t="e">
        <f>'ВЕД.СТ Пр.2.'!#REF!</f>
        <v>#REF!</v>
      </c>
    </row>
    <row r="31" spans="1:7" x14ac:dyDescent="0.2">
      <c r="A31" s="163" t="s">
        <v>197</v>
      </c>
      <c r="B31" s="156">
        <v>2340</v>
      </c>
      <c r="C31" s="156">
        <v>2083</v>
      </c>
      <c r="D31" s="156">
        <v>5022</v>
      </c>
      <c r="E31" s="156" t="e">
        <f>'ВЕД.СТ Пр.2.'!#REF!</f>
        <v>#REF!</v>
      </c>
      <c r="F31" s="156" t="e">
        <f>'ВЕД.СТ Пр.2.'!#REF!</f>
        <v>#REF!</v>
      </c>
      <c r="G31" s="156" t="e">
        <f>'ВЕД.СТ Пр.2.'!#REF!</f>
        <v>#REF!</v>
      </c>
    </row>
    <row r="32" spans="1:7" x14ac:dyDescent="0.2">
      <c r="A32" s="164" t="s">
        <v>669</v>
      </c>
      <c r="B32" s="156"/>
      <c r="C32" s="156"/>
      <c r="D32" s="156"/>
      <c r="E32" s="156"/>
      <c r="F32" s="156"/>
      <c r="G32" s="156"/>
    </row>
    <row r="33" spans="1:7" x14ac:dyDescent="0.2">
      <c r="A33" s="165" t="s">
        <v>670</v>
      </c>
      <c r="B33" s="156"/>
      <c r="C33" s="156"/>
      <c r="D33" s="156"/>
      <c r="E33" s="156"/>
      <c r="F33" s="156"/>
      <c r="G33" s="156"/>
    </row>
    <row r="34" spans="1:7" x14ac:dyDescent="0.2">
      <c r="A34" s="165" t="s">
        <v>671</v>
      </c>
      <c r="B34" s="149"/>
      <c r="C34" s="149"/>
      <c r="D34" s="149"/>
      <c r="E34" s="149"/>
      <c r="F34" s="149"/>
      <c r="G34" s="149"/>
    </row>
    <row r="35" spans="1:7" x14ac:dyDescent="0.2">
      <c r="A35" s="164" t="s">
        <v>672</v>
      </c>
      <c r="B35" s="167">
        <f t="shared" ref="B35:G35" si="2">B10-B19</f>
        <v>-600</v>
      </c>
      <c r="C35" s="167">
        <f t="shared" si="2"/>
        <v>-200</v>
      </c>
      <c r="D35" s="167">
        <f t="shared" si="2"/>
        <v>-1101</v>
      </c>
      <c r="E35" s="167" t="e">
        <f t="shared" si="2"/>
        <v>#REF!</v>
      </c>
      <c r="F35" s="171" t="e">
        <f t="shared" si="2"/>
        <v>#REF!</v>
      </c>
      <c r="G35" s="171" t="e">
        <f t="shared" si="2"/>
        <v>#REF!</v>
      </c>
    </row>
    <row r="36" spans="1:7" x14ac:dyDescent="0.2">
      <c r="A36" s="164" t="s">
        <v>673</v>
      </c>
      <c r="B36" s="167">
        <f t="shared" ref="B36:G36" si="3">B37</f>
        <v>600</v>
      </c>
      <c r="C36" s="167">
        <f t="shared" si="3"/>
        <v>200</v>
      </c>
      <c r="D36" s="167">
        <f t="shared" si="3"/>
        <v>1101</v>
      </c>
      <c r="E36" s="167" t="e">
        <f t="shared" si="3"/>
        <v>#REF!</v>
      </c>
      <c r="F36" s="171" t="e">
        <f t="shared" si="3"/>
        <v>#REF!</v>
      </c>
      <c r="G36" s="171" t="e">
        <f t="shared" si="3"/>
        <v>#REF!</v>
      </c>
    </row>
    <row r="37" spans="1:7" ht="25.5" x14ac:dyDescent="0.2">
      <c r="A37" s="165" t="s">
        <v>674</v>
      </c>
      <c r="B37" s="149">
        <f t="shared" ref="B37:G37" si="4">-B35</f>
        <v>600</v>
      </c>
      <c r="C37" s="149">
        <f t="shared" si="4"/>
        <v>200</v>
      </c>
      <c r="D37" s="149">
        <f t="shared" si="4"/>
        <v>1101</v>
      </c>
      <c r="E37" s="149" t="e">
        <f t="shared" si="4"/>
        <v>#REF!</v>
      </c>
      <c r="F37" s="172" t="e">
        <f t="shared" si="4"/>
        <v>#REF!</v>
      </c>
      <c r="G37" s="172" t="e">
        <f t="shared" si="4"/>
        <v>#REF!</v>
      </c>
    </row>
    <row r="38" spans="1:7" x14ac:dyDescent="0.2">
      <c r="A38" s="165" t="s">
        <v>675</v>
      </c>
      <c r="B38" s="149"/>
      <c r="C38" s="149"/>
      <c r="D38" s="149"/>
      <c r="E38" s="149"/>
      <c r="F38" s="149"/>
      <c r="G38" s="149"/>
    </row>
    <row r="39" spans="1:7" x14ac:dyDescent="0.2">
      <c r="A39" s="164" t="s">
        <v>676</v>
      </c>
      <c r="B39" s="167">
        <f t="shared" ref="B39:G39" si="5">B41</f>
        <v>0</v>
      </c>
      <c r="C39" s="167">
        <f t="shared" si="5"/>
        <v>0</v>
      </c>
      <c r="D39" s="167">
        <f t="shared" si="5"/>
        <v>0</v>
      </c>
      <c r="E39" s="167">
        <f t="shared" si="5"/>
        <v>0</v>
      </c>
      <c r="F39" s="167">
        <f t="shared" si="5"/>
        <v>0</v>
      </c>
      <c r="G39" s="167">
        <f t="shared" si="5"/>
        <v>0</v>
      </c>
    </row>
    <row r="40" spans="1:7" x14ac:dyDescent="0.2">
      <c r="A40" s="165" t="s">
        <v>948</v>
      </c>
      <c r="B40" s="149"/>
      <c r="C40" s="149"/>
      <c r="D40" s="149"/>
      <c r="E40" s="149"/>
      <c r="F40" s="149"/>
      <c r="G40" s="149"/>
    </row>
    <row r="41" spans="1:7" ht="15.75" customHeight="1" x14ac:dyDescent="0.2">
      <c r="A41" s="165" t="s">
        <v>191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</row>
    <row r="42" spans="1:7" x14ac:dyDescent="0.2">
      <c r="A42" s="164" t="s">
        <v>192</v>
      </c>
      <c r="B42" s="149"/>
      <c r="C42" s="149"/>
      <c r="D42" s="149"/>
      <c r="E42" s="149"/>
      <c r="F42" s="149"/>
      <c r="G42" s="149"/>
    </row>
    <row r="43" spans="1:7" ht="28.5" customHeight="1" x14ac:dyDescent="0.2">
      <c r="A43" s="165" t="s">
        <v>193</v>
      </c>
      <c r="B43" s="149">
        <v>0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</row>
    <row r="44" spans="1:7" ht="25.5" x14ac:dyDescent="0.2">
      <c r="A44" s="165" t="s">
        <v>195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  <c r="G44" s="149"/>
    </row>
    <row r="45" spans="1:7" ht="29.25" customHeight="1" x14ac:dyDescent="0.2">
      <c r="A45" s="165" t="s">
        <v>198</v>
      </c>
      <c r="B45" s="150">
        <f t="shared" ref="B45:G45" si="6">B35/(B12+B13)</f>
        <v>-1.0679577088747286E-2</v>
      </c>
      <c r="C45" s="150">
        <f t="shared" si="6"/>
        <v>-3.5511994176032954E-3</v>
      </c>
      <c r="D45" s="150">
        <f t="shared" si="6"/>
        <v>-1.9679339374765403E-2</v>
      </c>
      <c r="E45" s="150" t="e">
        <f t="shared" si="6"/>
        <v>#REF!</v>
      </c>
      <c r="F45" s="150" t="e">
        <f t="shared" si="6"/>
        <v>#REF!</v>
      </c>
      <c r="G45" s="150" t="e">
        <f t="shared" si="6"/>
        <v>#REF!</v>
      </c>
    </row>
    <row r="47" spans="1:7" x14ac:dyDescent="0.2">
      <c r="A47" s="168" t="s">
        <v>200</v>
      </c>
    </row>
  </sheetData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honeticPr fontId="11" type="noConversion"/>
  <pageMargins left="0.75" right="0.75" top="0.47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6" zoomScale="80" zoomScaleNormal="80" workbookViewId="0">
      <selection activeCell="G8" sqref="G8:H8"/>
    </sheetView>
  </sheetViews>
  <sheetFormatPr defaultRowHeight="12.75" x14ac:dyDescent="0.2"/>
  <cols>
    <col min="1" max="1" width="66.42578125" customWidth="1"/>
    <col min="4" max="4" width="10.85546875" bestFit="1" customWidth="1"/>
    <col min="6" max="6" width="9.5703125" customWidth="1"/>
    <col min="7" max="7" width="9.140625" customWidth="1"/>
    <col min="8" max="8" width="9.85546875" customWidth="1"/>
  </cols>
  <sheetData>
    <row r="1" spans="1:8" x14ac:dyDescent="0.2">
      <c r="D1" s="2979" t="s">
        <v>951</v>
      </c>
      <c r="E1" s="2979"/>
      <c r="F1" s="2979"/>
      <c r="G1" s="2979"/>
      <c r="H1" s="2979"/>
    </row>
    <row r="2" spans="1:8" x14ac:dyDescent="0.2">
      <c r="A2" s="2979" t="s">
        <v>956</v>
      </c>
      <c r="B2" s="2979"/>
      <c r="C2" s="2979"/>
      <c r="D2" s="2979"/>
      <c r="E2" s="2979"/>
      <c r="F2" s="2979"/>
      <c r="G2" s="2979"/>
      <c r="H2" s="2979"/>
    </row>
    <row r="3" spans="1:8" x14ac:dyDescent="0.2">
      <c r="C3" t="s">
        <v>955</v>
      </c>
      <c r="D3" s="971">
        <v>1</v>
      </c>
      <c r="E3">
        <v>4</v>
      </c>
      <c r="F3">
        <v>69</v>
      </c>
      <c r="G3" t="s">
        <v>94</v>
      </c>
    </row>
    <row r="5" spans="1:8" x14ac:dyDescent="0.2">
      <c r="A5" s="3063" t="s">
        <v>95</v>
      </c>
      <c r="B5" s="3063"/>
      <c r="C5" s="3063"/>
      <c r="D5" s="3063"/>
      <c r="E5" s="3063"/>
      <c r="F5" s="3063"/>
      <c r="G5" s="3063"/>
      <c r="H5" s="3063"/>
    </row>
    <row r="6" spans="1:8" x14ac:dyDescent="0.2">
      <c r="A6" s="3063" t="s">
        <v>957</v>
      </c>
      <c r="B6" s="3063"/>
      <c r="C6" s="3063"/>
      <c r="D6" s="3063"/>
      <c r="E6" s="3063"/>
      <c r="F6" s="3063"/>
      <c r="G6" s="3063"/>
      <c r="H6" s="3063"/>
    </row>
    <row r="7" spans="1:8" x14ac:dyDescent="0.2">
      <c r="A7" s="965" t="s">
        <v>96</v>
      </c>
      <c r="B7" s="965"/>
      <c r="C7" s="965"/>
      <c r="D7" s="965"/>
      <c r="E7" s="965"/>
      <c r="F7" s="965"/>
      <c r="G7" s="965"/>
      <c r="H7" s="965"/>
    </row>
    <row r="8" spans="1:8" ht="57" customHeight="1" x14ac:dyDescent="0.2">
      <c r="A8" s="2982" t="s">
        <v>698</v>
      </c>
      <c r="B8" s="3064" t="s">
        <v>699</v>
      </c>
      <c r="C8" s="3065"/>
      <c r="D8" s="3064" t="s">
        <v>700</v>
      </c>
      <c r="E8" s="3065"/>
      <c r="F8" s="156" t="s">
        <v>701</v>
      </c>
      <c r="G8" s="3064" t="s">
        <v>188</v>
      </c>
      <c r="H8" s="3065"/>
    </row>
    <row r="9" spans="1:8" x14ac:dyDescent="0.2">
      <c r="A9" s="2983"/>
      <c r="B9" s="3061">
        <v>2008</v>
      </c>
      <c r="C9" s="3062"/>
      <c r="D9" s="3061">
        <v>2009</v>
      </c>
      <c r="E9" s="3062"/>
      <c r="F9" s="829">
        <v>2010</v>
      </c>
      <c r="G9" s="829">
        <v>2011</v>
      </c>
      <c r="H9" s="829">
        <v>2012</v>
      </c>
    </row>
    <row r="10" spans="1:8" ht="96.75" customHeight="1" x14ac:dyDescent="0.2">
      <c r="A10" s="2984"/>
      <c r="B10" s="156" t="s">
        <v>190</v>
      </c>
      <c r="C10" s="156" t="s">
        <v>697</v>
      </c>
      <c r="D10" s="156" t="s">
        <v>97</v>
      </c>
      <c r="E10" s="156" t="s">
        <v>98</v>
      </c>
      <c r="F10" s="156" t="s">
        <v>99</v>
      </c>
      <c r="G10" s="156" t="s">
        <v>189</v>
      </c>
      <c r="H10" s="156" t="s">
        <v>189</v>
      </c>
    </row>
    <row r="11" spans="1:8" x14ac:dyDescent="0.2">
      <c r="A11" s="968" t="s">
        <v>947</v>
      </c>
      <c r="B11" s="968">
        <v>69354.7</v>
      </c>
      <c r="C11" s="968">
        <v>72613.7</v>
      </c>
      <c r="D11" s="968">
        <v>67410</v>
      </c>
      <c r="E11" s="968">
        <v>73909.5</v>
      </c>
      <c r="F11" s="968">
        <v>78900</v>
      </c>
      <c r="G11" s="968">
        <f>F11*1.07</f>
        <v>84423</v>
      </c>
      <c r="H11" s="968">
        <f>G11*1.07</f>
        <v>90332.61</v>
      </c>
    </row>
    <row r="12" spans="1:8" x14ac:dyDescent="0.2">
      <c r="A12" s="966" t="s">
        <v>948</v>
      </c>
      <c r="B12" s="966"/>
      <c r="C12" s="966"/>
      <c r="D12" s="966"/>
      <c r="E12" s="966"/>
      <c r="F12" s="966"/>
      <c r="G12" s="966"/>
      <c r="H12" s="966"/>
    </row>
    <row r="13" spans="1:8" x14ac:dyDescent="0.2">
      <c r="A13" s="966" t="s">
        <v>949</v>
      </c>
      <c r="B13" s="966">
        <v>51770.2</v>
      </c>
      <c r="C13" s="966">
        <v>55910.6</v>
      </c>
      <c r="D13" s="966">
        <v>54768.5</v>
      </c>
      <c r="E13" s="966">
        <v>63264</v>
      </c>
      <c r="F13" s="966">
        <f>ДОХ.Пр.1!E23+ДОХ.Пр.1!E38+ДОХ.Пр.1!E41</f>
        <v>99084.9</v>
      </c>
      <c r="G13" s="966">
        <f>F13*1.07</f>
        <v>106020.84299999999</v>
      </c>
      <c r="H13" s="966">
        <f>G13*1.07</f>
        <v>113442.30201</v>
      </c>
    </row>
    <row r="14" spans="1:8" x14ac:dyDescent="0.2">
      <c r="A14" s="966" t="s">
        <v>950</v>
      </c>
      <c r="B14" s="966">
        <v>5465.9</v>
      </c>
      <c r="C14" s="966">
        <v>5115.1000000000004</v>
      </c>
      <c r="D14" s="966">
        <v>3830</v>
      </c>
      <c r="E14" s="966">
        <v>1834</v>
      </c>
      <c r="F14" s="966">
        <f>ДОХ.Пр.1!E52+ДОХ.Пр.1!E64</f>
        <v>2626.8</v>
      </c>
      <c r="G14" s="966">
        <f>F14*1.07</f>
        <v>2810.6760000000004</v>
      </c>
      <c r="H14" s="966">
        <f>G14*1.07</f>
        <v>3007.4233200000008</v>
      </c>
    </row>
    <row r="15" spans="1:8" ht="15.75" customHeight="1" x14ac:dyDescent="0.2">
      <c r="A15" s="966" t="s">
        <v>646</v>
      </c>
      <c r="B15" s="966">
        <v>12118.6</v>
      </c>
      <c r="C15" s="966">
        <v>11588</v>
      </c>
      <c r="D15" s="966">
        <v>8811.5</v>
      </c>
      <c r="E15" s="966">
        <v>8811.5</v>
      </c>
      <c r="F15" s="966">
        <f>F17</f>
        <v>15947.3</v>
      </c>
      <c r="G15" s="966">
        <f>G17</f>
        <v>10732.9</v>
      </c>
      <c r="H15" s="966">
        <f>H17</f>
        <v>11614.199999999999</v>
      </c>
    </row>
    <row r="16" spans="1:8" x14ac:dyDescent="0.2">
      <c r="A16" s="966" t="s">
        <v>948</v>
      </c>
      <c r="B16" s="966"/>
      <c r="C16" s="966"/>
      <c r="D16" s="966"/>
      <c r="E16" s="966"/>
      <c r="F16" s="966"/>
      <c r="G16" s="966"/>
      <c r="H16" s="966"/>
    </row>
    <row r="17" spans="1:8" ht="25.5" x14ac:dyDescent="0.2">
      <c r="A17" s="966" t="s">
        <v>100</v>
      </c>
      <c r="B17" s="966">
        <v>12118.6</v>
      </c>
      <c r="C17" s="966">
        <v>11588</v>
      </c>
      <c r="D17" s="966">
        <v>8811.5</v>
      </c>
      <c r="E17" s="966">
        <v>8811.5</v>
      </c>
      <c r="F17" s="966">
        <f>SUM(F18:F19)</f>
        <v>15947.3</v>
      </c>
      <c r="G17" s="966">
        <f>SUM(G18:G19)</f>
        <v>10732.9</v>
      </c>
      <c r="H17" s="966">
        <f>SUM(H18:H19)</f>
        <v>11614.199999999999</v>
      </c>
    </row>
    <row r="18" spans="1:8" x14ac:dyDescent="0.2">
      <c r="A18" s="966" t="s">
        <v>466</v>
      </c>
      <c r="B18" s="966">
        <v>5000</v>
      </c>
      <c r="C18" s="966">
        <v>5000</v>
      </c>
      <c r="D18" s="966">
        <v>0</v>
      </c>
      <c r="E18" s="966">
        <v>0</v>
      </c>
      <c r="F18" s="966">
        <v>0</v>
      </c>
      <c r="G18" s="966">
        <v>0</v>
      </c>
      <c r="H18" s="966">
        <v>0</v>
      </c>
    </row>
    <row r="19" spans="1:8" ht="13.5" customHeight="1" x14ac:dyDescent="0.2">
      <c r="A19" s="966" t="s">
        <v>101</v>
      </c>
      <c r="B19" s="966">
        <v>7118.6</v>
      </c>
      <c r="C19" s="966">
        <v>6588</v>
      </c>
      <c r="D19" s="966">
        <v>8811.5</v>
      </c>
      <c r="E19" s="966">
        <v>8811.5</v>
      </c>
      <c r="F19" s="966">
        <f>ДОХ.Пр.1!E93</f>
        <v>15947.3</v>
      </c>
      <c r="G19" s="966">
        <f>3084.1+6992.6+591.4+64.8</f>
        <v>10732.9</v>
      </c>
      <c r="H19" s="966">
        <f>3430+7482.1+632.8+69.3</f>
        <v>11614.199999999999</v>
      </c>
    </row>
    <row r="20" spans="1:8" x14ac:dyDescent="0.2">
      <c r="A20" s="968" t="s">
        <v>650</v>
      </c>
      <c r="B20" s="968">
        <v>68801.600000000006</v>
      </c>
      <c r="C20" s="968">
        <v>68193.899999999994</v>
      </c>
      <c r="D20" s="968">
        <v>67410</v>
      </c>
      <c r="E20" s="968">
        <v>67410</v>
      </c>
      <c r="F20" s="968" t="e">
        <f>F21+F26+F27+F28+F29+F30+F31+F32</f>
        <v>#REF!</v>
      </c>
      <c r="G20" s="968" t="e">
        <f>G21+G26+G27+G28+G29+G30+G31+G32</f>
        <v>#REF!</v>
      </c>
      <c r="H20" s="968">
        <f>H21+H26+H27+H28+H29+H30+H31+H32</f>
        <v>68941.420903000006</v>
      </c>
    </row>
    <row r="21" spans="1:8" x14ac:dyDescent="0.2">
      <c r="A21" s="966" t="s">
        <v>651</v>
      </c>
      <c r="B21" s="966">
        <v>17254.599999999999</v>
      </c>
      <c r="C21" s="966">
        <v>17179.5</v>
      </c>
      <c r="D21" s="966">
        <v>22500</v>
      </c>
      <c r="E21" s="966">
        <v>22500</v>
      </c>
      <c r="F21" s="966">
        <f>'ВЕД.СТ Пр.2.'!I38</f>
        <v>4378.8</v>
      </c>
      <c r="G21" s="970">
        <f>F21*1.07-70.246</f>
        <v>4615.0700000000006</v>
      </c>
      <c r="H21" s="966">
        <f>(G21*1.07+228.96)</f>
        <v>5167.0849000000007</v>
      </c>
    </row>
    <row r="22" spans="1:8" x14ac:dyDescent="0.2">
      <c r="A22" s="966" t="s">
        <v>948</v>
      </c>
      <c r="B22" s="966"/>
      <c r="C22" s="966"/>
      <c r="D22" s="966"/>
      <c r="E22" s="966"/>
      <c r="F22" s="966"/>
      <c r="G22" s="970">
        <v>0</v>
      </c>
      <c r="H22" s="966">
        <v>0</v>
      </c>
    </row>
    <row r="23" spans="1:8" ht="13.5" customHeight="1" x14ac:dyDescent="0.2">
      <c r="A23" s="967" t="s">
        <v>662</v>
      </c>
      <c r="B23" s="967">
        <v>16670.599999999999</v>
      </c>
      <c r="C23" s="967">
        <v>16597</v>
      </c>
      <c r="D23" s="967">
        <v>19193</v>
      </c>
      <c r="E23" s="967">
        <v>19193</v>
      </c>
      <c r="F23" s="967" t="e">
        <f>'ВЕД.СТ Пр.2.'!I39+'ВЕД.СТ Пр.2.'!I42+'ВЕД.СТ Пр.2.'!#REF!</f>
        <v>#REF!</v>
      </c>
      <c r="G23" s="969" t="e">
        <f>F23*1.07</f>
        <v>#REF!</v>
      </c>
      <c r="H23" s="967" t="e">
        <f>G23*1.07</f>
        <v>#REF!</v>
      </c>
    </row>
    <row r="24" spans="1:8" x14ac:dyDescent="0.2">
      <c r="A24" s="967" t="s">
        <v>199</v>
      </c>
      <c r="B24" s="967">
        <v>0</v>
      </c>
      <c r="C24" s="967">
        <v>0</v>
      </c>
      <c r="D24" s="967">
        <v>0</v>
      </c>
      <c r="E24" s="967">
        <v>0</v>
      </c>
      <c r="F24" s="967">
        <v>0</v>
      </c>
      <c r="G24" s="967">
        <v>0</v>
      </c>
      <c r="H24" s="967">
        <v>0</v>
      </c>
    </row>
    <row r="25" spans="1:8" x14ac:dyDescent="0.2">
      <c r="A25" s="967" t="s">
        <v>663</v>
      </c>
      <c r="B25" s="967">
        <v>0</v>
      </c>
      <c r="C25" s="967">
        <v>0</v>
      </c>
      <c r="D25" s="967">
        <v>0</v>
      </c>
      <c r="E25" s="967">
        <v>0</v>
      </c>
      <c r="F25" s="969" t="e">
        <f>'ВЕД.СТ Пр.2.'!#REF!</f>
        <v>#REF!</v>
      </c>
      <c r="G25" s="969" t="e">
        <f>F25*1.07</f>
        <v>#REF!</v>
      </c>
      <c r="H25" s="969" t="e">
        <f>G25*1.07</f>
        <v>#REF!</v>
      </c>
    </row>
    <row r="26" spans="1:8" ht="17.25" customHeight="1" x14ac:dyDescent="0.2">
      <c r="A26" s="966" t="s">
        <v>664</v>
      </c>
      <c r="B26" s="966">
        <v>693.1</v>
      </c>
      <c r="C26" s="966">
        <v>688.6</v>
      </c>
      <c r="D26" s="966">
        <v>853.6</v>
      </c>
      <c r="E26" s="966">
        <v>853.6</v>
      </c>
      <c r="F26" s="966" t="e">
        <f>'ВЕД.СТ Пр.2.'!#REF!</f>
        <v>#REF!</v>
      </c>
      <c r="G26" s="970" t="e">
        <f t="shared" ref="G26:G31" si="0">F26*1.07</f>
        <v>#REF!</v>
      </c>
      <c r="H26" s="970">
        <v>1197.642108</v>
      </c>
    </row>
    <row r="27" spans="1:8" x14ac:dyDescent="0.2">
      <c r="A27" s="966" t="s">
        <v>665</v>
      </c>
      <c r="B27" s="966">
        <v>36674.300000000003</v>
      </c>
      <c r="C27" s="966">
        <v>36673.800000000003</v>
      </c>
      <c r="D27" s="966">
        <v>30458</v>
      </c>
      <c r="E27" s="966">
        <v>30458</v>
      </c>
      <c r="F27" s="966" t="e">
        <f>'ВЕД.СТ Пр.2.'!#REF!</f>
        <v>#REF!</v>
      </c>
      <c r="G27" s="970" t="e">
        <f t="shared" si="0"/>
        <v>#REF!</v>
      </c>
      <c r="H27" s="970">
        <v>42091.435619999997</v>
      </c>
    </row>
    <row r="28" spans="1:8" x14ac:dyDescent="0.2">
      <c r="A28" s="966" t="s">
        <v>666</v>
      </c>
      <c r="B28" s="966">
        <v>7.9</v>
      </c>
      <c r="C28" s="966">
        <v>7.9</v>
      </c>
      <c r="D28" s="966">
        <v>8.4</v>
      </c>
      <c r="E28" s="966">
        <v>8.4</v>
      </c>
      <c r="F28" s="966" t="e">
        <f>'ВЕД.СТ Пр.2.'!#REF!</f>
        <v>#REF!</v>
      </c>
      <c r="G28" s="966" t="e">
        <f t="shared" si="0"/>
        <v>#REF!</v>
      </c>
      <c r="H28" s="970">
        <v>17.173500000000001</v>
      </c>
    </row>
    <row r="29" spans="1:8" x14ac:dyDescent="0.2">
      <c r="A29" s="966" t="s">
        <v>667</v>
      </c>
      <c r="B29" s="966">
        <v>2645</v>
      </c>
      <c r="C29" s="966">
        <v>2645</v>
      </c>
      <c r="D29" s="966">
        <v>2080</v>
      </c>
      <c r="E29" s="966">
        <v>2080</v>
      </c>
      <c r="F29" s="966" t="e">
        <f>'ВЕД.СТ Пр.2.'!#REF!</f>
        <v>#REF!</v>
      </c>
      <c r="G29" s="966" t="e">
        <f t="shared" si="0"/>
        <v>#REF!</v>
      </c>
      <c r="H29" s="970">
        <v>4435.3425999999999</v>
      </c>
    </row>
    <row r="30" spans="1:8" ht="13.5" customHeight="1" x14ac:dyDescent="0.2">
      <c r="A30" s="966" t="s">
        <v>668</v>
      </c>
      <c r="B30" s="966">
        <v>5196.2</v>
      </c>
      <c r="C30" s="966">
        <v>5196.2</v>
      </c>
      <c r="D30" s="966">
        <v>4146</v>
      </c>
      <c r="E30" s="966">
        <v>4146</v>
      </c>
      <c r="F30" s="966" t="e">
        <f>'ВЕД.СТ Пр.2.'!#REF!</f>
        <v>#REF!</v>
      </c>
      <c r="G30" s="970" t="e">
        <f t="shared" si="0"/>
        <v>#REF!</v>
      </c>
      <c r="H30" s="970">
        <v>6750.044175</v>
      </c>
    </row>
    <row r="31" spans="1:8" x14ac:dyDescent="0.2">
      <c r="A31" s="966" t="s">
        <v>196</v>
      </c>
      <c r="B31" s="966">
        <v>598.5</v>
      </c>
      <c r="C31" s="966">
        <v>598.5</v>
      </c>
      <c r="D31" s="966">
        <v>659</v>
      </c>
      <c r="E31" s="966">
        <v>659</v>
      </c>
      <c r="F31" s="966" t="e">
        <f>'ВЕД.СТ Пр.2.'!#REF!</f>
        <v>#REF!</v>
      </c>
      <c r="G31" s="966" t="e">
        <f t="shared" si="0"/>
        <v>#REF!</v>
      </c>
      <c r="H31" s="970">
        <v>1167.798</v>
      </c>
    </row>
    <row r="32" spans="1:8" x14ac:dyDescent="0.2">
      <c r="A32" s="966" t="s">
        <v>197</v>
      </c>
      <c r="B32" s="966">
        <v>5732</v>
      </c>
      <c r="C32" s="966">
        <v>5204.3999999999996</v>
      </c>
      <c r="D32" s="966">
        <v>6705</v>
      </c>
      <c r="E32" s="966">
        <v>6705</v>
      </c>
      <c r="F32" s="966" t="e">
        <f>'ВЕД.СТ Пр.2.'!#REF!</f>
        <v>#REF!</v>
      </c>
      <c r="G32" s="966">
        <f>6992.6+591.4</f>
        <v>7584</v>
      </c>
      <c r="H32" s="966">
        <f>7482.1+632.8</f>
        <v>8114.9000000000005</v>
      </c>
    </row>
    <row r="33" spans="1:8" ht="17.25" customHeight="1" x14ac:dyDescent="0.2">
      <c r="A33" s="968" t="s">
        <v>672</v>
      </c>
      <c r="B33" s="968">
        <v>553.1</v>
      </c>
      <c r="C33" s="968">
        <v>4419.8</v>
      </c>
      <c r="D33" s="968"/>
      <c r="E33" s="968">
        <f>E11-E20</f>
        <v>6499.5</v>
      </c>
      <c r="F33" s="968" t="e">
        <f>F11-F20</f>
        <v>#REF!</v>
      </c>
      <c r="G33" s="968" t="e">
        <f>G11-G20</f>
        <v>#REF!</v>
      </c>
      <c r="H33" s="968"/>
    </row>
    <row r="34" spans="1:8" ht="15.75" customHeight="1" x14ac:dyDescent="0.2">
      <c r="A34" s="966" t="s">
        <v>673</v>
      </c>
      <c r="B34" s="966">
        <v>-553.1</v>
      </c>
      <c r="C34" s="966">
        <v>-4419.8</v>
      </c>
      <c r="D34" s="966"/>
      <c r="E34" s="966">
        <v>-6499.5</v>
      </c>
      <c r="F34" s="966">
        <v>0</v>
      </c>
      <c r="G34" s="966">
        <v>0</v>
      </c>
      <c r="H34" s="966">
        <v>0</v>
      </c>
    </row>
    <row r="35" spans="1:8" ht="28.5" customHeight="1" x14ac:dyDescent="0.2">
      <c r="A35" s="966" t="s">
        <v>674</v>
      </c>
      <c r="B35" s="966">
        <v>-553.1</v>
      </c>
      <c r="C35" s="966">
        <v>-4419.8</v>
      </c>
      <c r="D35" s="966"/>
      <c r="E35" s="966">
        <v>-6499.5</v>
      </c>
      <c r="F35" s="966">
        <v>0</v>
      </c>
      <c r="G35" s="966">
        <v>0</v>
      </c>
      <c r="H35" s="966">
        <v>0</v>
      </c>
    </row>
    <row r="36" spans="1:8" x14ac:dyDescent="0.2">
      <c r="A36" s="966" t="s">
        <v>675</v>
      </c>
      <c r="B36" s="966"/>
      <c r="C36" s="966"/>
      <c r="D36" s="966"/>
      <c r="E36" s="966">
        <v>0</v>
      </c>
      <c r="F36" s="966">
        <v>0</v>
      </c>
      <c r="G36" s="966"/>
      <c r="H36" s="966"/>
    </row>
    <row r="37" spans="1:8" x14ac:dyDescent="0.2">
      <c r="A37" s="966" t="s">
        <v>676</v>
      </c>
      <c r="B37" s="966">
        <v>0</v>
      </c>
      <c r="C37" s="966">
        <v>0</v>
      </c>
      <c r="D37" s="966"/>
      <c r="E37" s="966">
        <v>0</v>
      </c>
      <c r="F37" s="966">
        <v>0</v>
      </c>
      <c r="G37" s="966">
        <v>0</v>
      </c>
      <c r="H37" s="966">
        <v>0</v>
      </c>
    </row>
    <row r="38" spans="1:8" x14ac:dyDescent="0.2">
      <c r="A38" s="966" t="s">
        <v>948</v>
      </c>
      <c r="B38" s="966"/>
      <c r="C38" s="966"/>
      <c r="D38" s="966"/>
      <c r="E38" s="966"/>
      <c r="F38" s="966"/>
      <c r="G38" s="966"/>
      <c r="H38" s="966"/>
    </row>
    <row r="39" spans="1:8" ht="15" customHeight="1" x14ac:dyDescent="0.2">
      <c r="A39" s="966" t="s">
        <v>191</v>
      </c>
      <c r="B39" s="966">
        <v>0</v>
      </c>
      <c r="C39" s="966">
        <v>0</v>
      </c>
      <c r="D39" s="966"/>
      <c r="E39" s="966">
        <v>0</v>
      </c>
      <c r="F39" s="966">
        <v>0</v>
      </c>
      <c r="G39" s="966">
        <v>0</v>
      </c>
      <c r="H39" s="966">
        <v>0</v>
      </c>
    </row>
    <row r="40" spans="1:8" x14ac:dyDescent="0.2">
      <c r="A40" s="966" t="s">
        <v>192</v>
      </c>
      <c r="B40" s="966"/>
      <c r="C40" s="966"/>
      <c r="D40" s="966"/>
      <c r="E40" s="966"/>
      <c r="F40" s="966"/>
      <c r="G40" s="966"/>
      <c r="H40" s="966"/>
    </row>
    <row r="41" spans="1:8" ht="39" customHeight="1" x14ac:dyDescent="0.2">
      <c r="A41" s="966" t="s">
        <v>193</v>
      </c>
      <c r="B41" s="966"/>
      <c r="C41" s="966"/>
      <c r="D41" s="966"/>
      <c r="E41" s="966"/>
      <c r="F41" s="966"/>
      <c r="G41" s="966"/>
      <c r="H41" s="966"/>
    </row>
    <row r="42" spans="1:8" ht="27" customHeight="1" x14ac:dyDescent="0.2">
      <c r="A42" s="966" t="s">
        <v>195</v>
      </c>
      <c r="B42" s="966"/>
      <c r="C42" s="966"/>
      <c r="D42" s="966"/>
      <c r="E42" s="966"/>
      <c r="F42" s="966"/>
      <c r="G42" s="966"/>
      <c r="H42" s="966"/>
    </row>
    <row r="43" spans="1:8" ht="26.25" customHeight="1" x14ac:dyDescent="0.2">
      <c r="A43" s="966" t="s">
        <v>198</v>
      </c>
      <c r="B43" s="966">
        <v>-0.01</v>
      </c>
      <c r="C43" s="966">
        <v>-7.0000000000000007E-2</v>
      </c>
      <c r="D43" s="966"/>
      <c r="E43" s="966">
        <v>-0.1</v>
      </c>
      <c r="F43" s="966">
        <v>0</v>
      </c>
      <c r="G43" s="966">
        <v>0</v>
      </c>
      <c r="H43" s="966">
        <v>0</v>
      </c>
    </row>
    <row r="45" spans="1:8" x14ac:dyDescent="0.2">
      <c r="A45" t="s">
        <v>200</v>
      </c>
    </row>
  </sheetData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honeticPr fontId="1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C1" zoomScale="80" zoomScaleNormal="80" workbookViewId="0">
      <selection activeCell="M18" sqref="M18"/>
    </sheetView>
  </sheetViews>
  <sheetFormatPr defaultRowHeight="12.75" x14ac:dyDescent="0.2"/>
  <cols>
    <col min="1" max="1" width="4.140625" customWidth="1"/>
    <col min="2" max="2" width="58.28515625" customWidth="1"/>
    <col min="3" max="3" width="11.85546875" customWidth="1"/>
    <col min="4" max="4" width="12.85546875" customWidth="1"/>
    <col min="5" max="5" width="11" bestFit="1" customWidth="1"/>
    <col min="6" max="6" width="10.7109375" bestFit="1" customWidth="1"/>
    <col min="7" max="7" width="11" bestFit="1" customWidth="1"/>
    <col min="8" max="8" width="10.7109375" bestFit="1" customWidth="1"/>
  </cols>
  <sheetData>
    <row r="1" spans="1:9" ht="15.75" x14ac:dyDescent="0.25">
      <c r="A1" s="3090" t="s">
        <v>1435</v>
      </c>
      <c r="B1" s="3090"/>
      <c r="C1" s="3090"/>
      <c r="D1" s="3090"/>
      <c r="E1" s="3090"/>
      <c r="F1" s="3090"/>
      <c r="G1" s="3090"/>
      <c r="H1" s="3090"/>
      <c r="I1" s="3090"/>
    </row>
    <row r="2" spans="1:9" ht="15.75" x14ac:dyDescent="0.25">
      <c r="A2" s="3090" t="str">
        <f>Бюд.р.!D116</f>
        <v>№ 02-03-02 от 14.01.2015</v>
      </c>
      <c r="B2" s="3090"/>
      <c r="C2" s="3090"/>
      <c r="D2" s="3090"/>
      <c r="E2" s="3090"/>
      <c r="F2" s="3090"/>
      <c r="G2" s="3090"/>
      <c r="H2" s="3090"/>
      <c r="I2" s="3090"/>
    </row>
    <row r="3" spans="1:9" ht="15.75" hidden="1" x14ac:dyDescent="0.25">
      <c r="A3" s="3090"/>
      <c r="B3" s="3090"/>
      <c r="C3" s="3090"/>
      <c r="D3" s="3090"/>
      <c r="E3" s="3090"/>
      <c r="F3" s="3090"/>
      <c r="G3" s="3090"/>
      <c r="H3" s="3090"/>
      <c r="I3" s="3090"/>
    </row>
    <row r="4" spans="1:9" ht="15.75" hidden="1" x14ac:dyDescent="0.25">
      <c r="A4" s="3090"/>
      <c r="B4" s="3090"/>
      <c r="C4" s="3090"/>
      <c r="D4" s="3090"/>
      <c r="E4" s="3090"/>
      <c r="F4" s="3090"/>
      <c r="G4" s="3090"/>
      <c r="H4" s="3090"/>
      <c r="I4" s="3090"/>
    </row>
    <row r="5" spans="1:9" ht="15.75" hidden="1" x14ac:dyDescent="0.25">
      <c r="A5" s="991"/>
      <c r="G5" s="2979"/>
      <c r="H5" s="2979"/>
      <c r="I5" s="2979"/>
    </row>
    <row r="6" spans="1:9" ht="15.75" x14ac:dyDescent="0.25">
      <c r="A6" s="3073" t="s">
        <v>620</v>
      </c>
      <c r="B6" s="3073"/>
      <c r="C6" s="3073"/>
      <c r="D6" s="3073"/>
      <c r="E6" s="3073"/>
      <c r="F6" s="3073"/>
      <c r="G6" s="3073"/>
      <c r="H6" s="3073"/>
      <c r="I6" s="3073"/>
    </row>
    <row r="7" spans="1:9" ht="15.75" x14ac:dyDescent="0.25">
      <c r="A7" s="3073" t="s">
        <v>1559</v>
      </c>
      <c r="B7" s="3073"/>
      <c r="C7" s="3073"/>
      <c r="D7" s="3073"/>
      <c r="E7" s="3073"/>
      <c r="F7" s="3073"/>
      <c r="G7" s="3073"/>
      <c r="H7" s="3073"/>
      <c r="I7" s="3073"/>
    </row>
    <row r="8" spans="1:9" ht="13.5" thickBot="1" x14ac:dyDescent="0.25">
      <c r="A8" s="3074" t="s">
        <v>595</v>
      </c>
      <c r="B8" s="3074"/>
      <c r="C8" s="3074"/>
      <c r="D8" s="3074"/>
      <c r="E8" s="3074"/>
      <c r="F8" s="3074"/>
      <c r="G8" s="3074"/>
      <c r="H8" s="3074"/>
      <c r="I8" s="3074"/>
    </row>
    <row r="9" spans="1:9" ht="12.75" customHeight="1" x14ac:dyDescent="0.2">
      <c r="A9" s="3075" t="s">
        <v>596</v>
      </c>
      <c r="B9" s="3078" t="s">
        <v>597</v>
      </c>
      <c r="C9" s="3084" t="s">
        <v>613</v>
      </c>
      <c r="D9" s="3084" t="s">
        <v>614</v>
      </c>
      <c r="E9" s="3087" t="s">
        <v>598</v>
      </c>
      <c r="F9" s="3088"/>
      <c r="G9" s="3088"/>
      <c r="H9" s="3089"/>
      <c r="I9" s="3081" t="s">
        <v>615</v>
      </c>
    </row>
    <row r="10" spans="1:9" ht="12.75" customHeight="1" x14ac:dyDescent="0.2">
      <c r="A10" s="3076"/>
      <c r="B10" s="3079"/>
      <c r="C10" s="3085"/>
      <c r="D10" s="3085"/>
      <c r="E10" s="993" t="s">
        <v>599</v>
      </c>
      <c r="F10" s="993" t="s">
        <v>601</v>
      </c>
      <c r="G10" s="993" t="s">
        <v>602</v>
      </c>
      <c r="H10" s="993" t="s">
        <v>603</v>
      </c>
      <c r="I10" s="3082"/>
    </row>
    <row r="11" spans="1:9" x14ac:dyDescent="0.2">
      <c r="A11" s="3076"/>
      <c r="B11" s="3079"/>
      <c r="C11" s="3085"/>
      <c r="D11" s="3085"/>
      <c r="E11" s="3085" t="s">
        <v>600</v>
      </c>
      <c r="F11" s="3085" t="s">
        <v>600</v>
      </c>
      <c r="G11" s="3085" t="s">
        <v>600</v>
      </c>
      <c r="H11" s="3085" t="s">
        <v>600</v>
      </c>
      <c r="I11" s="3082"/>
    </row>
    <row r="12" spans="1:9" x14ac:dyDescent="0.2">
      <c r="A12" s="3076"/>
      <c r="B12" s="3079"/>
      <c r="C12" s="3085"/>
      <c r="D12" s="3085"/>
      <c r="E12" s="3085"/>
      <c r="F12" s="3085"/>
      <c r="G12" s="3085"/>
      <c r="H12" s="3085"/>
      <c r="I12" s="3082"/>
    </row>
    <row r="13" spans="1:9" x14ac:dyDescent="0.2">
      <c r="A13" s="3076"/>
      <c r="B13" s="3079"/>
      <c r="C13" s="3085"/>
      <c r="D13" s="3085"/>
      <c r="E13" s="3085"/>
      <c r="F13" s="3085"/>
      <c r="G13" s="3085"/>
      <c r="H13" s="3085"/>
      <c r="I13" s="3082"/>
    </row>
    <row r="14" spans="1:9" x14ac:dyDescent="0.2">
      <c r="A14" s="3076"/>
      <c r="B14" s="3079"/>
      <c r="C14" s="3085"/>
      <c r="D14" s="3085"/>
      <c r="E14" s="3085"/>
      <c r="F14" s="3085"/>
      <c r="G14" s="3085"/>
      <c r="H14" s="3085"/>
      <c r="I14" s="3082"/>
    </row>
    <row r="15" spans="1:9" ht="13.5" thickBot="1" x14ac:dyDescent="0.25">
      <c r="A15" s="3077"/>
      <c r="B15" s="3080"/>
      <c r="C15" s="3086"/>
      <c r="D15" s="3086"/>
      <c r="E15" s="3086"/>
      <c r="F15" s="3086"/>
      <c r="G15" s="3086"/>
      <c r="H15" s="3086"/>
      <c r="I15" s="3083"/>
    </row>
    <row r="16" spans="1:9" ht="15.75" customHeight="1" thickBot="1" x14ac:dyDescent="0.25">
      <c r="A16" s="999" t="s">
        <v>604</v>
      </c>
      <c r="B16" s="1000" t="s">
        <v>605</v>
      </c>
      <c r="C16" s="1000">
        <v>1</v>
      </c>
      <c r="D16" s="1000" t="s">
        <v>606</v>
      </c>
      <c r="E16" s="1000">
        <v>3</v>
      </c>
      <c r="F16" s="1000">
        <v>4</v>
      </c>
      <c r="G16" s="1000">
        <v>5</v>
      </c>
      <c r="H16" s="1000">
        <v>6</v>
      </c>
      <c r="I16" s="1001" t="s">
        <v>607</v>
      </c>
    </row>
    <row r="17" spans="1:9" ht="15.75" x14ac:dyDescent="0.2">
      <c r="A17" s="1002">
        <v>1</v>
      </c>
      <c r="B17" s="997" t="s">
        <v>608</v>
      </c>
      <c r="C17" s="998">
        <f>D17</f>
        <v>117659</v>
      </c>
      <c r="D17" s="998">
        <f>SUM(E17:H17)</f>
        <v>117659</v>
      </c>
      <c r="E17" s="998">
        <f>кв!E102</f>
        <v>20818.868000000002</v>
      </c>
      <c r="F17" s="998">
        <f>кв!F102</f>
        <v>28765.451999999997</v>
      </c>
      <c r="G17" s="998">
        <f>кв!G102</f>
        <v>36784.909</v>
      </c>
      <c r="H17" s="998">
        <f>кв!H102</f>
        <v>31289.771000000001</v>
      </c>
      <c r="I17" s="1003">
        <f>D17-C17</f>
        <v>0</v>
      </c>
    </row>
    <row r="18" spans="1:9" ht="15.75" x14ac:dyDescent="0.2">
      <c r="A18" s="1004">
        <v>2</v>
      </c>
      <c r="B18" s="995" t="s">
        <v>609</v>
      </c>
      <c r="C18" s="994">
        <f>D18</f>
        <v>124658.99999999999</v>
      </c>
      <c r="D18" s="994">
        <f>SUM(E18:H18)</f>
        <v>124658.99999999999</v>
      </c>
      <c r="E18" s="994">
        <f>Бюд.р.!I601</f>
        <v>17891.748</v>
      </c>
      <c r="F18" s="994">
        <f>Бюд.р.!J601</f>
        <v>22137.160999999996</v>
      </c>
      <c r="G18" s="994">
        <f>Бюд.р.!K601</f>
        <v>68772.840999999986</v>
      </c>
      <c r="H18" s="994">
        <f>Бюд.р.!L601</f>
        <v>15857.250000000002</v>
      </c>
      <c r="I18" s="1005">
        <f>D18-C18</f>
        <v>0</v>
      </c>
    </row>
    <row r="19" spans="1:9" ht="15.75" customHeight="1" x14ac:dyDescent="0.2">
      <c r="A19" s="3091">
        <v>3</v>
      </c>
      <c r="B19" s="3092" t="s">
        <v>610</v>
      </c>
      <c r="C19" s="3067">
        <f>D19</f>
        <v>-6999.9999999999836</v>
      </c>
      <c r="D19" s="3067">
        <f>SUM(E19:H20)</f>
        <v>-6999.9999999999836</v>
      </c>
      <c r="E19" s="3067">
        <f>E17-E18</f>
        <v>2927.1200000000026</v>
      </c>
      <c r="F19" s="3067">
        <f>F17-F18</f>
        <v>6628.2910000000011</v>
      </c>
      <c r="G19" s="3067">
        <f>G17-G18</f>
        <v>-31987.931999999986</v>
      </c>
      <c r="H19" s="3067">
        <f>H17-H18</f>
        <v>15432.520999999999</v>
      </c>
      <c r="I19" s="3066">
        <f>D19-C19</f>
        <v>0</v>
      </c>
    </row>
    <row r="20" spans="1:9" hidden="1" x14ac:dyDescent="0.2">
      <c r="A20" s="3091"/>
      <c r="B20" s="3092"/>
      <c r="C20" s="3067"/>
      <c r="D20" s="3067"/>
      <c r="E20" s="3067"/>
      <c r="F20" s="3067"/>
      <c r="G20" s="3067"/>
      <c r="H20" s="3067"/>
      <c r="I20" s="3066"/>
    </row>
    <row r="21" spans="1:9" ht="15" customHeight="1" x14ac:dyDescent="0.2">
      <c r="A21" s="3068">
        <v>4</v>
      </c>
      <c r="B21" s="3069" t="s">
        <v>616</v>
      </c>
      <c r="C21" s="3067">
        <f>D21</f>
        <v>6999.9999999999836</v>
      </c>
      <c r="D21" s="3067">
        <f>SUM(E21:H22)</f>
        <v>6999.9999999999836</v>
      </c>
      <c r="E21" s="3067">
        <f>кв!E103</f>
        <v>-2927.1200000000026</v>
      </c>
      <c r="F21" s="3067">
        <f>кв!F103</f>
        <v>-6628.2910000000011</v>
      </c>
      <c r="G21" s="3067">
        <f>кв!G103</f>
        <v>31987.931999999986</v>
      </c>
      <c r="H21" s="3067">
        <f>кв!H103</f>
        <v>-15432.520999999999</v>
      </c>
      <c r="I21" s="3066">
        <f>D21-C21</f>
        <v>0</v>
      </c>
    </row>
    <row r="22" spans="1:9" ht="13.5" hidden="1" customHeight="1" thickBot="1" x14ac:dyDescent="0.25">
      <c r="A22" s="3068"/>
      <c r="B22" s="3069"/>
      <c r="C22" s="3067"/>
      <c r="D22" s="3067"/>
      <c r="E22" s="3067"/>
      <c r="F22" s="3067"/>
      <c r="G22" s="3067"/>
      <c r="H22" s="3067"/>
      <c r="I22" s="3066"/>
    </row>
    <row r="23" spans="1:9" ht="15" customHeight="1" x14ac:dyDescent="0.2">
      <c r="A23" s="1004">
        <v>5</v>
      </c>
      <c r="B23" s="996" t="s">
        <v>611</v>
      </c>
      <c r="C23" s="992">
        <f>D23</f>
        <v>0</v>
      </c>
      <c r="D23" s="992">
        <f>SUM(E23:H23)</f>
        <v>0</v>
      </c>
      <c r="E23" s="992">
        <v>0</v>
      </c>
      <c r="F23" s="992">
        <v>0</v>
      </c>
      <c r="G23" s="992">
        <v>0</v>
      </c>
      <c r="H23" s="992">
        <v>0</v>
      </c>
      <c r="I23" s="1005">
        <v>0</v>
      </c>
    </row>
    <row r="24" spans="1:9" ht="15.75" customHeight="1" x14ac:dyDescent="0.2">
      <c r="A24" s="3068">
        <v>6</v>
      </c>
      <c r="B24" s="3069" t="s">
        <v>617</v>
      </c>
      <c r="C24" s="3067">
        <f>D24</f>
        <v>0</v>
      </c>
      <c r="D24" s="3067">
        <f>SUM(E24:H26)</f>
        <v>0</v>
      </c>
      <c r="E24" s="3067">
        <v>0</v>
      </c>
      <c r="F24" s="3067">
        <v>0</v>
      </c>
      <c r="G24" s="3067">
        <v>0</v>
      </c>
      <c r="H24" s="3067">
        <v>0</v>
      </c>
      <c r="I24" s="3066">
        <v>0</v>
      </c>
    </row>
    <row r="25" spans="1:9" ht="14.25" customHeight="1" x14ac:dyDescent="0.2">
      <c r="A25" s="3068"/>
      <c r="B25" s="3069"/>
      <c r="C25" s="3067"/>
      <c r="D25" s="3067"/>
      <c r="E25" s="3067"/>
      <c r="F25" s="3067"/>
      <c r="G25" s="3067"/>
      <c r="H25" s="3067"/>
      <c r="I25" s="3066"/>
    </row>
    <row r="26" spans="1:9" hidden="1" x14ac:dyDescent="0.2">
      <c r="A26" s="3068"/>
      <c r="B26" s="3069"/>
      <c r="C26" s="3067"/>
      <c r="D26" s="3067"/>
      <c r="E26" s="3067"/>
      <c r="F26" s="3067"/>
      <c r="G26" s="3067"/>
      <c r="H26" s="3067"/>
      <c r="I26" s="3066"/>
    </row>
    <row r="27" spans="1:9" ht="15.75" customHeight="1" x14ac:dyDescent="0.2">
      <c r="A27" s="3068">
        <v>7</v>
      </c>
      <c r="B27" s="3069" t="s">
        <v>622</v>
      </c>
      <c r="C27" s="3067">
        <f>D27</f>
        <v>0</v>
      </c>
      <c r="D27" s="3067">
        <f>SUM(E27:H30)</f>
        <v>0</v>
      </c>
      <c r="E27" s="3067">
        <v>0</v>
      </c>
      <c r="F27" s="3067">
        <v>0</v>
      </c>
      <c r="G27" s="3067">
        <v>0</v>
      </c>
      <c r="H27" s="3067">
        <v>0</v>
      </c>
      <c r="I27" s="3066"/>
    </row>
    <row r="28" spans="1:9" x14ac:dyDescent="0.2">
      <c r="A28" s="3068"/>
      <c r="B28" s="3069"/>
      <c r="C28" s="3067"/>
      <c r="D28" s="3067"/>
      <c r="E28" s="3067"/>
      <c r="F28" s="3067"/>
      <c r="G28" s="3067"/>
      <c r="H28" s="3067"/>
      <c r="I28" s="3066"/>
    </row>
    <row r="29" spans="1:9" ht="3" customHeight="1" x14ac:dyDescent="0.2">
      <c r="A29" s="3068"/>
      <c r="B29" s="3069"/>
      <c r="C29" s="3067"/>
      <c r="D29" s="3067"/>
      <c r="E29" s="3067"/>
      <c r="F29" s="3067"/>
      <c r="G29" s="3067"/>
      <c r="H29" s="3067"/>
      <c r="I29" s="3066"/>
    </row>
    <row r="30" spans="1:9" ht="6.75" hidden="1" customHeight="1" x14ac:dyDescent="0.2">
      <c r="A30" s="3068"/>
      <c r="B30" s="3069"/>
      <c r="C30" s="3067"/>
      <c r="D30" s="3067"/>
      <c r="E30" s="3067"/>
      <c r="F30" s="3067"/>
      <c r="G30" s="3067"/>
      <c r="H30" s="3067"/>
      <c r="I30" s="3066"/>
    </row>
    <row r="31" spans="1:9" ht="15.75" customHeight="1" x14ac:dyDescent="0.2">
      <c r="A31" s="3068">
        <v>8</v>
      </c>
      <c r="B31" s="3069" t="s">
        <v>623</v>
      </c>
      <c r="C31" s="3067">
        <f>D31</f>
        <v>0</v>
      </c>
      <c r="D31" s="3067">
        <v>0</v>
      </c>
      <c r="E31" s="3067">
        <v>0</v>
      </c>
      <c r="F31" s="3067">
        <v>0</v>
      </c>
      <c r="G31" s="3067">
        <v>0</v>
      </c>
      <c r="H31" s="3067">
        <v>0</v>
      </c>
      <c r="I31" s="3066">
        <v>0</v>
      </c>
    </row>
    <row r="32" spans="1:9" x14ac:dyDescent="0.2">
      <c r="A32" s="3068"/>
      <c r="B32" s="3069"/>
      <c r="C32" s="3067"/>
      <c r="D32" s="3067"/>
      <c r="E32" s="3067"/>
      <c r="F32" s="3067"/>
      <c r="G32" s="3067"/>
      <c r="H32" s="3067"/>
      <c r="I32" s="3066"/>
    </row>
    <row r="33" spans="1:9" ht="2.25" customHeight="1" x14ac:dyDescent="0.2">
      <c r="A33" s="3068"/>
      <c r="B33" s="3069"/>
      <c r="C33" s="3067"/>
      <c r="D33" s="3067"/>
      <c r="E33" s="3067"/>
      <c r="F33" s="3067"/>
      <c r="G33" s="3067"/>
      <c r="H33" s="3067"/>
      <c r="I33" s="3066"/>
    </row>
    <row r="34" spans="1:9" ht="15.75" customHeight="1" x14ac:dyDescent="0.2">
      <c r="A34" s="3068">
        <v>9</v>
      </c>
      <c r="B34" s="3069" t="s">
        <v>624</v>
      </c>
      <c r="C34" s="3067">
        <f>D34</f>
        <v>0</v>
      </c>
      <c r="D34" s="3067">
        <v>0</v>
      </c>
      <c r="E34" s="3070">
        <v>0</v>
      </c>
      <c r="F34" s="3070">
        <v>0</v>
      </c>
      <c r="G34" s="3070">
        <v>0</v>
      </c>
      <c r="H34" s="3070">
        <v>0</v>
      </c>
      <c r="I34" s="3066">
        <v>0</v>
      </c>
    </row>
    <row r="35" spans="1:9" ht="12" customHeight="1" x14ac:dyDescent="0.2">
      <c r="A35" s="3068"/>
      <c r="B35" s="3069"/>
      <c r="C35" s="3067"/>
      <c r="D35" s="3067"/>
      <c r="E35" s="3071"/>
      <c r="F35" s="3071"/>
      <c r="G35" s="3071"/>
      <c r="H35" s="3071"/>
      <c r="I35" s="3066"/>
    </row>
    <row r="36" spans="1:9" ht="20.25" hidden="1" customHeight="1" x14ac:dyDescent="0.2">
      <c r="A36" s="3068"/>
      <c r="B36" s="3069"/>
      <c r="C36" s="3067"/>
      <c r="D36" s="3067"/>
      <c r="E36" s="3072"/>
      <c r="F36" s="3072"/>
      <c r="G36" s="3072"/>
      <c r="H36" s="3072"/>
      <c r="I36" s="3066"/>
    </row>
    <row r="37" spans="1:9" ht="27.75" customHeight="1" x14ac:dyDescent="0.2">
      <c r="A37" s="1004">
        <v>10</v>
      </c>
      <c r="B37" s="996" t="s">
        <v>619</v>
      </c>
      <c r="C37" s="992">
        <f>D37</f>
        <v>0</v>
      </c>
      <c r="D37" s="992">
        <v>0</v>
      </c>
      <c r="E37" s="992">
        <v>0</v>
      </c>
      <c r="F37" s="992">
        <v>0</v>
      </c>
      <c r="G37" s="992">
        <v>0</v>
      </c>
      <c r="H37" s="992">
        <v>0</v>
      </c>
      <c r="I37" s="1005">
        <v>0</v>
      </c>
    </row>
    <row r="38" spans="1:9" ht="32.25" customHeight="1" thickBot="1" x14ac:dyDescent="0.25">
      <c r="A38" s="1006">
        <v>11</v>
      </c>
      <c r="B38" s="1007" t="s">
        <v>618</v>
      </c>
      <c r="C38" s="1008">
        <f>D38</f>
        <v>0</v>
      </c>
      <c r="D38" s="1008">
        <v>0</v>
      </c>
      <c r="E38" s="1008">
        <v>0</v>
      </c>
      <c r="F38" s="1008">
        <v>0</v>
      </c>
      <c r="G38" s="1008">
        <v>0</v>
      </c>
      <c r="H38" s="1008">
        <v>0</v>
      </c>
      <c r="I38" s="1009">
        <v>0</v>
      </c>
    </row>
    <row r="39" spans="1:9" ht="15.75" x14ac:dyDescent="0.25">
      <c r="A39" s="990" t="s">
        <v>612</v>
      </c>
    </row>
    <row r="40" spans="1:9" ht="15.75" x14ac:dyDescent="0.25">
      <c r="A40" s="990" t="s">
        <v>621</v>
      </c>
    </row>
    <row r="41" spans="1:9" ht="15.75" x14ac:dyDescent="0.25">
      <c r="A41" s="990" t="s">
        <v>1560</v>
      </c>
    </row>
    <row r="42" spans="1:9" ht="15.75" x14ac:dyDescent="0.25">
      <c r="A42" s="990"/>
    </row>
    <row r="43" spans="1:9" ht="15.75" x14ac:dyDescent="0.25">
      <c r="A43" s="989"/>
    </row>
    <row r="44" spans="1:9" ht="15.75" x14ac:dyDescent="0.25">
      <c r="A44" s="990"/>
    </row>
  </sheetData>
  <mergeCells count="72"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  <mergeCell ref="I21:I22"/>
    <mergeCell ref="B24:B26"/>
    <mergeCell ref="C27:C30"/>
    <mergeCell ref="I27:I30"/>
    <mergeCell ref="D27:D30"/>
    <mergeCell ref="G24:G26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F34:F36"/>
    <mergeCell ref="G34:G36"/>
    <mergeCell ref="D31:D33"/>
    <mergeCell ref="E31:E33"/>
    <mergeCell ref="F31:F33"/>
    <mergeCell ref="G31:G33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</mergeCells>
  <phoneticPr fontId="11" type="noConversion"/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opLeftCell="C105" zoomScale="87" zoomScaleNormal="87" workbookViewId="0">
      <selection activeCell="I68" sqref="I68"/>
    </sheetView>
  </sheetViews>
  <sheetFormatPr defaultRowHeight="12.75" x14ac:dyDescent="0.2"/>
  <cols>
    <col min="1" max="1" width="7.140625" hidden="1" customWidth="1"/>
    <col min="2" max="2" width="64.5703125" customWidth="1"/>
    <col min="3" max="3" width="8.5703125" customWidth="1"/>
    <col min="4" max="4" width="8.42578125" customWidth="1"/>
    <col min="5" max="5" width="10.42578125" customWidth="1"/>
    <col min="6" max="6" width="5.7109375" customWidth="1"/>
    <col min="7" max="7" width="12.85546875" customWidth="1"/>
    <col min="8" max="8" width="11.42578125" customWidth="1"/>
    <col min="9" max="9" width="11.5703125" customWidth="1"/>
  </cols>
  <sheetData>
    <row r="1" spans="1:9" ht="15" x14ac:dyDescent="0.25">
      <c r="A1" s="1016"/>
      <c r="B1" s="3118" t="s">
        <v>1108</v>
      </c>
      <c r="C1" s="3118"/>
      <c r="D1" s="3118"/>
      <c r="E1" s="3118"/>
      <c r="F1" s="3118"/>
      <c r="G1" s="3118"/>
      <c r="H1" s="3118"/>
      <c r="I1" s="3118"/>
    </row>
    <row r="2" spans="1:9" ht="15" x14ac:dyDescent="0.25">
      <c r="A2" s="1016"/>
      <c r="B2" s="3118" t="s">
        <v>1241</v>
      </c>
      <c r="C2" s="3118"/>
      <c r="D2" s="3118"/>
      <c r="E2" s="3118"/>
      <c r="F2" s="3118"/>
      <c r="G2" s="3118"/>
      <c r="H2" s="3118"/>
      <c r="I2" s="3118"/>
    </row>
    <row r="3" spans="1:9" ht="15" x14ac:dyDescent="0.25">
      <c r="A3" s="1016"/>
      <c r="B3" s="3118" t="s">
        <v>1510</v>
      </c>
      <c r="C3" s="3118"/>
      <c r="D3" s="3118"/>
      <c r="E3" s="3118"/>
      <c r="F3" s="3118"/>
      <c r="G3" s="3118"/>
      <c r="H3" s="3118"/>
      <c r="I3" s="3118"/>
    </row>
    <row r="4" spans="1:9" ht="15" x14ac:dyDescent="0.25">
      <c r="A4" s="1016"/>
      <c r="B4" s="3118" t="s">
        <v>1563</v>
      </c>
      <c r="C4" s="3118"/>
      <c r="D4" s="3118"/>
      <c r="E4" s="3118"/>
      <c r="F4" s="3118"/>
      <c r="G4" s="3118"/>
      <c r="H4" s="3118"/>
      <c r="I4" s="3118"/>
    </row>
    <row r="5" spans="1:9" ht="15" x14ac:dyDescent="0.25">
      <c r="A5" s="1016"/>
      <c r="B5" s="3118" t="s">
        <v>1564</v>
      </c>
      <c r="C5" s="3118"/>
      <c r="D5" s="3118"/>
      <c r="E5" s="3118"/>
      <c r="F5" s="3118"/>
      <c r="G5" s="3118"/>
      <c r="H5" s="3118"/>
      <c r="I5" s="3118"/>
    </row>
    <row r="6" spans="1:9" ht="15.75" customHeight="1" x14ac:dyDescent="0.25">
      <c r="A6" s="3119" t="s">
        <v>1243</v>
      </c>
      <c r="B6" s="3119"/>
      <c r="C6" s="3119"/>
      <c r="D6" s="3119"/>
      <c r="E6" s="3119"/>
      <c r="F6" s="3119"/>
      <c r="G6" s="3119"/>
      <c r="H6" s="3119"/>
      <c r="I6" s="3119"/>
    </row>
    <row r="7" spans="1:9" ht="15.75" customHeight="1" x14ac:dyDescent="0.25">
      <c r="A7" s="3119" t="s">
        <v>1244</v>
      </c>
      <c r="B7" s="3119"/>
      <c r="C7" s="3119"/>
      <c r="D7" s="3119"/>
      <c r="E7" s="3119"/>
      <c r="F7" s="3119"/>
      <c r="G7" s="3119"/>
      <c r="H7" s="3119"/>
      <c r="I7" s="3119"/>
    </row>
    <row r="8" spans="1:9" ht="19.5" thickBot="1" x14ac:dyDescent="0.35">
      <c r="A8" s="3120" t="s">
        <v>1511</v>
      </c>
      <c r="B8" s="3120"/>
      <c r="C8" s="3120"/>
      <c r="D8" s="3120"/>
      <c r="E8" s="3120"/>
      <c r="F8" s="3120"/>
      <c r="G8" s="3120"/>
      <c r="H8" s="3120"/>
      <c r="I8" s="3120"/>
    </row>
    <row r="9" spans="1:9" ht="58.5" x14ac:dyDescent="0.3">
      <c r="A9" s="1545"/>
      <c r="B9" s="3123" t="s">
        <v>1259</v>
      </c>
      <c r="C9" s="3124"/>
      <c r="D9" s="3124"/>
      <c r="E9" s="3124"/>
      <c r="F9" s="3124"/>
      <c r="G9" s="2912" t="s">
        <v>1561</v>
      </c>
      <c r="H9" s="3121" t="s">
        <v>1562</v>
      </c>
      <c r="I9" s="3122"/>
    </row>
    <row r="10" spans="1:9" ht="19.5" thickBot="1" x14ac:dyDescent="0.35">
      <c r="A10" s="1545"/>
      <c r="B10" s="3125"/>
      <c r="C10" s="3126"/>
      <c r="D10" s="3126"/>
      <c r="E10" s="3126"/>
      <c r="F10" s="3126"/>
      <c r="G10" s="2909" t="s">
        <v>1513</v>
      </c>
      <c r="H10" s="2910">
        <v>2016</v>
      </c>
      <c r="I10" s="2911">
        <v>2017</v>
      </c>
    </row>
    <row r="11" spans="1:9" ht="31.5" customHeight="1" thickBot="1" x14ac:dyDescent="0.3">
      <c r="A11" s="1552"/>
      <c r="B11" s="3130" t="s">
        <v>1246</v>
      </c>
      <c r="C11" s="3131"/>
      <c r="D11" s="3131"/>
      <c r="E11" s="3131"/>
      <c r="F11" s="3131"/>
      <c r="G11" s="2907">
        <f>SUM(G12:G14)</f>
        <v>117659</v>
      </c>
      <c r="H11" s="2907">
        <f>SUM(H12:H14)</f>
        <v>124026.58500000001</v>
      </c>
      <c r="I11" s="2908">
        <f>SUM(I12:I14)</f>
        <v>130470.44925000002</v>
      </c>
    </row>
    <row r="12" spans="1:9" ht="18.75" x14ac:dyDescent="0.3">
      <c r="A12" s="1553"/>
      <c r="B12" s="3093" t="s">
        <v>949</v>
      </c>
      <c r="C12" s="3094"/>
      <c r="D12" s="3094"/>
      <c r="E12" s="3094"/>
      <c r="F12" s="3095"/>
      <c r="G12" s="2745">
        <f>ДОХ.Пр.1!E22</f>
        <v>99084.9</v>
      </c>
      <c r="H12" s="2801">
        <f>G12*1.05</f>
        <v>104039.145</v>
      </c>
      <c r="I12" s="2802">
        <f>H12*1.05</f>
        <v>109241.10225000001</v>
      </c>
    </row>
    <row r="13" spans="1:9" ht="18.75" x14ac:dyDescent="0.3">
      <c r="A13" s="1553"/>
      <c r="B13" s="3112" t="s">
        <v>950</v>
      </c>
      <c r="C13" s="3113"/>
      <c r="D13" s="3113"/>
      <c r="E13" s="3113"/>
      <c r="F13" s="3114"/>
      <c r="G13" s="2746">
        <f>ДОХ.Пр.1!E44</f>
        <v>2626.8</v>
      </c>
      <c r="H13" s="2803">
        <f>G13*1.05</f>
        <v>2758.1400000000003</v>
      </c>
      <c r="I13" s="2804">
        <f>H13*1.05</f>
        <v>2896.0470000000005</v>
      </c>
    </row>
    <row r="14" spans="1:9" ht="18.75" x14ac:dyDescent="0.3">
      <c r="A14" s="1553"/>
      <c r="B14" s="3112" t="s">
        <v>1249</v>
      </c>
      <c r="C14" s="3113"/>
      <c r="D14" s="3113"/>
      <c r="E14" s="3113"/>
      <c r="F14" s="3114"/>
      <c r="G14" s="2746">
        <f>SUM(G15:G19)</f>
        <v>15947.3</v>
      </c>
      <c r="H14" s="2746">
        <f>SUM(H15:H19)</f>
        <v>17229.3</v>
      </c>
      <c r="I14" s="2805">
        <f>SUM(I15:I19)</f>
        <v>18333.3</v>
      </c>
    </row>
    <row r="15" spans="1:9" ht="15" customHeight="1" x14ac:dyDescent="0.3">
      <c r="A15" s="1553"/>
      <c r="B15" s="3115" t="s">
        <v>466</v>
      </c>
      <c r="C15" s="3116"/>
      <c r="D15" s="3116"/>
      <c r="E15" s="3116"/>
      <c r="F15" s="3117"/>
      <c r="G15" s="2747">
        <v>0</v>
      </c>
      <c r="H15" s="2806">
        <v>0</v>
      </c>
      <c r="I15" s="2807">
        <v>0</v>
      </c>
    </row>
    <row r="16" spans="1:9" ht="31.5" customHeight="1" x14ac:dyDescent="0.3">
      <c r="A16" s="1553"/>
      <c r="B16" s="3115" t="str">
        <f>ДОХ.Пр.1!D96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6" s="3116"/>
      <c r="D16" s="3116"/>
      <c r="E16" s="3116"/>
      <c r="F16" s="3117"/>
      <c r="G16" s="2747">
        <f>ДОХ.Пр.1!E96</f>
        <v>3724</v>
      </c>
      <c r="H16" s="2806">
        <f>H149</f>
        <v>4790.2000000000007</v>
      </c>
      <c r="I16" s="2807">
        <f>I149</f>
        <v>5173.8</v>
      </c>
    </row>
    <row r="17" spans="1:9" ht="28.5" customHeight="1" x14ac:dyDescent="0.3">
      <c r="A17" s="1553"/>
      <c r="B17" s="3115" t="str">
        <f>ДОХ.Пр.1!D97</f>
        <v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7" s="3116"/>
      <c r="D17" s="3116"/>
      <c r="E17" s="3116"/>
      <c r="F17" s="3117"/>
      <c r="G17" s="2747">
        <f>ДОХ.Пр.1!E97</f>
        <v>5.6</v>
      </c>
      <c r="H17" s="2806">
        <f>H50</f>
        <v>5.9</v>
      </c>
      <c r="I17" s="2807">
        <f>I50</f>
        <v>6.2</v>
      </c>
    </row>
    <row r="18" spans="1:9" ht="29.25" customHeight="1" x14ac:dyDescent="0.3">
      <c r="A18" s="1553"/>
      <c r="B18" s="3132" t="str">
        <f>ДОХ.Пр.1!D100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8" s="3133"/>
      <c r="D18" s="3133"/>
      <c r="E18" s="3133"/>
      <c r="F18" s="3134"/>
      <c r="G18" s="2747">
        <f>ДОХ.Пр.1!E100</f>
        <v>9259.7999999999993</v>
      </c>
      <c r="H18" s="2806">
        <f>H152</f>
        <v>9787.4</v>
      </c>
      <c r="I18" s="2807">
        <f>I152</f>
        <v>10277</v>
      </c>
    </row>
    <row r="19" spans="1:9" ht="29.25" customHeight="1" thickBot="1" x14ac:dyDescent="0.35">
      <c r="A19" s="1553"/>
      <c r="B19" s="3135" t="str">
        <f>ДОХ.Пр.1!D101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9" s="3136"/>
      <c r="D19" s="3136"/>
      <c r="E19" s="3136"/>
      <c r="F19" s="3137"/>
      <c r="G19" s="2748">
        <f>ДОХ.Пр.1!E101</f>
        <v>2957.9</v>
      </c>
      <c r="H19" s="2808">
        <f>H154</f>
        <v>2645.8</v>
      </c>
      <c r="I19" s="2809">
        <f>I154</f>
        <v>2876.3</v>
      </c>
    </row>
    <row r="20" spans="1:9" ht="25.5" customHeight="1" thickBot="1" x14ac:dyDescent="0.3">
      <c r="A20" s="1552"/>
      <c r="B20" s="3138" t="s">
        <v>1250</v>
      </c>
      <c r="C20" s="3139"/>
      <c r="D20" s="3139"/>
      <c r="E20" s="3139"/>
      <c r="F20" s="3139"/>
      <c r="G20" s="2744" t="e">
        <f>G26+G40+G23</f>
        <v>#REF!</v>
      </c>
      <c r="H20" s="2744" t="e">
        <f>H26+H40+H23</f>
        <v>#REF!</v>
      </c>
      <c r="I20" s="2749" t="e">
        <f>I26+I40+I23</f>
        <v>#REF!</v>
      </c>
    </row>
    <row r="21" spans="1:9" ht="25.5" thickBot="1" x14ac:dyDescent="0.25">
      <c r="A21" s="1526" t="s">
        <v>955</v>
      </c>
      <c r="B21" s="2750" t="s">
        <v>273</v>
      </c>
      <c r="C21" s="2751" t="s">
        <v>498</v>
      </c>
      <c r="D21" s="2824" t="s">
        <v>286</v>
      </c>
      <c r="E21" s="2752" t="s">
        <v>1397</v>
      </c>
      <c r="F21" s="2753" t="s">
        <v>1398</v>
      </c>
      <c r="G21" s="2754" t="s">
        <v>1321</v>
      </c>
      <c r="H21" s="2755" t="s">
        <v>1254</v>
      </c>
      <c r="I21" s="2755" t="s">
        <v>1322</v>
      </c>
    </row>
    <row r="22" spans="1:9" ht="13.5" thickBot="1" x14ac:dyDescent="0.25">
      <c r="A22" s="392" t="s">
        <v>811</v>
      </c>
      <c r="B22" s="2756">
        <v>2</v>
      </c>
      <c r="C22" s="2757" t="s">
        <v>526</v>
      </c>
      <c r="D22" s="2758" t="s">
        <v>745</v>
      </c>
      <c r="E22" s="2758" t="s">
        <v>349</v>
      </c>
      <c r="F22" s="2759" t="s">
        <v>350</v>
      </c>
      <c r="G22" s="2760">
        <v>7</v>
      </c>
      <c r="H22" s="2761">
        <v>8</v>
      </c>
      <c r="I22" s="2761">
        <v>9</v>
      </c>
    </row>
    <row r="23" spans="1:9" ht="13.5" hidden="1" thickBot="1" x14ac:dyDescent="0.25">
      <c r="A23" s="1906"/>
      <c r="B23" s="2762" t="s">
        <v>1306</v>
      </c>
      <c r="C23" s="2763" t="s">
        <v>985</v>
      </c>
      <c r="D23" s="2764"/>
      <c r="E23" s="2764"/>
      <c r="F23" s="2765"/>
      <c r="G23" s="2766">
        <f t="shared" ref="G23:I24" si="0">G24</f>
        <v>0</v>
      </c>
      <c r="H23" s="2767">
        <f t="shared" si="0"/>
        <v>0</v>
      </c>
      <c r="I23" s="2767">
        <f t="shared" si="0"/>
        <v>0</v>
      </c>
    </row>
    <row r="24" spans="1:9" hidden="1" x14ac:dyDescent="0.2">
      <c r="A24" s="1906"/>
      <c r="B24" s="1944" t="s">
        <v>122</v>
      </c>
      <c r="C24" s="1785">
        <v>917</v>
      </c>
      <c r="D24" s="1785" t="s">
        <v>511</v>
      </c>
      <c r="E24" s="1945"/>
      <c r="F24" s="1947"/>
      <c r="G24" s="1950">
        <f t="shared" si="0"/>
        <v>0</v>
      </c>
      <c r="H24" s="1900">
        <f t="shared" si="0"/>
        <v>0</v>
      </c>
      <c r="I24" s="1900">
        <f t="shared" si="0"/>
        <v>0</v>
      </c>
    </row>
    <row r="25" spans="1:9" ht="13.5" hidden="1" thickBot="1" x14ac:dyDescent="0.25">
      <c r="A25" s="1906"/>
      <c r="B25" s="1946" t="str">
        <f>Бюд.р.!A9</f>
        <v>Обеспечение проведения выборов и референдумов</v>
      </c>
      <c r="C25" s="1892">
        <f>Бюд.р.!B9</f>
        <v>917</v>
      </c>
      <c r="D25" s="1892">
        <f>Бюд.р.!C9</f>
        <v>107</v>
      </c>
      <c r="E25" s="2768"/>
      <c r="F25" s="2769"/>
      <c r="G25" s="2770">
        <f>Бюд.р.!H9</f>
        <v>0</v>
      </c>
      <c r="H25" s="2771">
        <v>0</v>
      </c>
      <c r="I25" s="2771">
        <v>0</v>
      </c>
    </row>
    <row r="26" spans="1:9" ht="13.5" thickBot="1" x14ac:dyDescent="0.25">
      <c r="A26" s="1907"/>
      <c r="B26" s="2772" t="str">
        <f>Бюд.р.!A57</f>
        <v>МУНИЦИПАЛЬНЫЙ СОВЕТ МО МО ОЗЕРО ДОЛГОЕ</v>
      </c>
      <c r="C26" s="2773">
        <v>925</v>
      </c>
      <c r="D26" s="2773"/>
      <c r="E26" s="2773"/>
      <c r="F26" s="2774"/>
      <c r="G26" s="2775">
        <f>G27</f>
        <v>4378.8</v>
      </c>
      <c r="H26" s="2775">
        <f>H27</f>
        <v>4597.7400000000007</v>
      </c>
      <c r="I26" s="2776">
        <f>I27</f>
        <v>4827.6270000000004</v>
      </c>
    </row>
    <row r="27" spans="1:9" ht="13.5" thickBot="1" x14ac:dyDescent="0.25">
      <c r="A27" s="1908" t="s">
        <v>738</v>
      </c>
      <c r="B27" s="1944" t="s">
        <v>122</v>
      </c>
      <c r="C27" s="1785" t="s">
        <v>103</v>
      </c>
      <c r="D27" s="1785" t="s">
        <v>511</v>
      </c>
      <c r="E27" s="1785"/>
      <c r="F27" s="1879"/>
      <c r="G27" s="1951">
        <f>G28+G31</f>
        <v>4378.8</v>
      </c>
      <c r="H27" s="1951">
        <f>H28+H31</f>
        <v>4597.7400000000007</v>
      </c>
      <c r="I27" s="2740">
        <f>I28+I31</f>
        <v>4827.6270000000004</v>
      </c>
    </row>
    <row r="28" spans="1:9" ht="24" x14ac:dyDescent="0.2">
      <c r="A28" s="1909" t="s">
        <v>811</v>
      </c>
      <c r="B28" s="2713" t="s">
        <v>152</v>
      </c>
      <c r="C28" s="1893" t="s">
        <v>103</v>
      </c>
      <c r="D28" s="1893" t="s">
        <v>510</v>
      </c>
      <c r="E28" s="1893"/>
      <c r="F28" s="1949"/>
      <c r="G28" s="2714">
        <f t="shared" ref="G28:I29" si="1">G29</f>
        <v>1117.634</v>
      </c>
      <c r="H28" s="1958">
        <f t="shared" si="1"/>
        <v>1173.5157000000002</v>
      </c>
      <c r="I28" s="1958">
        <f t="shared" si="1"/>
        <v>1232.1914850000003</v>
      </c>
    </row>
    <row r="29" spans="1:9" ht="15" customHeight="1" x14ac:dyDescent="0.2">
      <c r="A29" s="1910" t="s">
        <v>299</v>
      </c>
      <c r="B29" s="1937" t="s">
        <v>513</v>
      </c>
      <c r="C29" s="1784" t="s">
        <v>103</v>
      </c>
      <c r="D29" s="1784" t="s">
        <v>510</v>
      </c>
      <c r="E29" s="1784" t="s">
        <v>514</v>
      </c>
      <c r="F29" s="1878"/>
      <c r="G29" s="1952">
        <f t="shared" si="1"/>
        <v>1117.634</v>
      </c>
      <c r="H29" s="2810">
        <f t="shared" si="1"/>
        <v>1173.5157000000002</v>
      </c>
      <c r="I29" s="2810">
        <f t="shared" si="1"/>
        <v>1232.1914850000003</v>
      </c>
    </row>
    <row r="30" spans="1:9" ht="39" customHeight="1" x14ac:dyDescent="0.2">
      <c r="A30" s="1911" t="s">
        <v>212</v>
      </c>
      <c r="B30" s="1937" t="str">
        <f>Бюд.р.!A152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1784" t="s">
        <v>103</v>
      </c>
      <c r="D30" s="1784" t="s">
        <v>510</v>
      </c>
      <c r="E30" s="1784" t="str">
        <f>Бюд.р.!D61</f>
        <v>002  01 00</v>
      </c>
      <c r="F30" s="1878">
        <f>Бюд.р.!F61</f>
        <v>100</v>
      </c>
      <c r="G30" s="1952">
        <f>Бюд.р.!H62</f>
        <v>1117.634</v>
      </c>
      <c r="H30" s="2811">
        <f>G30*1.05</f>
        <v>1173.5157000000002</v>
      </c>
      <c r="I30" s="2811">
        <f>H30*1.05</f>
        <v>1232.1914850000003</v>
      </c>
    </row>
    <row r="31" spans="1:9" ht="41.25" customHeight="1" x14ac:dyDescent="0.2">
      <c r="A31" s="1911"/>
      <c r="B31" s="2715" t="str">
        <f>Бюд.р.!A66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31" s="1893">
        <v>925</v>
      </c>
      <c r="D31" s="2135" t="s">
        <v>528</v>
      </c>
      <c r="E31" s="1893"/>
      <c r="F31" s="1949"/>
      <c r="G31" s="2714">
        <f>G32+G34+G36</f>
        <v>3261.1660000000002</v>
      </c>
      <c r="H31" s="2714">
        <f>H32+H34+H36</f>
        <v>3424.2243000000003</v>
      </c>
      <c r="I31" s="1958">
        <f>I32+I34+I36</f>
        <v>3595.4355150000006</v>
      </c>
    </row>
    <row r="32" spans="1:9" ht="26.25" customHeight="1" x14ac:dyDescent="0.2">
      <c r="A32" s="1911"/>
      <c r="B32" s="2715" t="str">
        <f>Бюд.р.!A68</f>
        <v>ДЕПУТАТЫ, ОСУЩЕСТВЛЯЮЩИЕ СВОЮ ДЕЯТЕЛЬНОСТЬ НА ПОСТОЯННОЙ ОСНОВЕ</v>
      </c>
      <c r="C32" s="1893">
        <v>925</v>
      </c>
      <c r="D32" s="2135" t="s">
        <v>528</v>
      </c>
      <c r="E32" s="1893" t="str">
        <f>Бюд.р.!D68</f>
        <v>002  03 01</v>
      </c>
      <c r="F32" s="1949"/>
      <c r="G32" s="2714">
        <f>G33</f>
        <v>961.04</v>
      </c>
      <c r="H32" s="2714">
        <f>H33</f>
        <v>1009.092</v>
      </c>
      <c r="I32" s="1958">
        <f>I33</f>
        <v>1059.5466000000001</v>
      </c>
    </row>
    <row r="33" spans="1:9" ht="38.25" customHeight="1" x14ac:dyDescent="0.2">
      <c r="A33" s="1912" t="s">
        <v>924</v>
      </c>
      <c r="B33" s="1937" t="str">
        <f>Бюд.р.!A152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1784" t="s">
        <v>103</v>
      </c>
      <c r="D33" s="1784" t="s">
        <v>528</v>
      </c>
      <c r="E33" s="1784" t="str">
        <f>Бюд.р.!D69</f>
        <v>002  03 01</v>
      </c>
      <c r="F33" s="1878">
        <f>Бюд.р.!F69</f>
        <v>100</v>
      </c>
      <c r="G33" s="1952">
        <f>Бюд.р.!H69</f>
        <v>961.04</v>
      </c>
      <c r="H33" s="2810">
        <f>G33*1.05</f>
        <v>1009.092</v>
      </c>
      <c r="I33" s="2810">
        <f>H33*1.05</f>
        <v>1059.5466000000001</v>
      </c>
    </row>
    <row r="34" spans="1:9" ht="22.5" x14ac:dyDescent="0.2">
      <c r="A34" s="1910" t="s">
        <v>578</v>
      </c>
      <c r="B34" s="1938" t="s">
        <v>1133</v>
      </c>
      <c r="C34" s="1864">
        <v>925</v>
      </c>
      <c r="D34" s="1864">
        <v>103</v>
      </c>
      <c r="E34" s="1864" t="str">
        <f>Бюд.р.!D77</f>
        <v>002  03 02</v>
      </c>
      <c r="F34" s="1865"/>
      <c r="G34" s="1953">
        <f>G35</f>
        <v>264.60000000000002</v>
      </c>
      <c r="H34" s="2741">
        <f>H35</f>
        <v>277.83000000000004</v>
      </c>
      <c r="I34" s="2741">
        <f>I35</f>
        <v>291.72150000000005</v>
      </c>
    </row>
    <row r="35" spans="1:9" ht="38.25" customHeight="1" x14ac:dyDescent="0.2">
      <c r="A35" s="1911" t="s">
        <v>219</v>
      </c>
      <c r="B35" s="1869" t="str">
        <f>Бюд.р.!A69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1867">
        <v>925</v>
      </c>
      <c r="D35" s="1867">
        <v>103</v>
      </c>
      <c r="E35" s="1867" t="str">
        <f>Бюд.р.!D78</f>
        <v>002  03 02</v>
      </c>
      <c r="F35" s="1868">
        <f>Бюд.р.!F78</f>
        <v>100</v>
      </c>
      <c r="G35" s="1954">
        <f>Бюд.р.!H78</f>
        <v>264.60000000000002</v>
      </c>
      <c r="H35" s="2812">
        <f>G35*1.05</f>
        <v>277.83000000000004</v>
      </c>
      <c r="I35" s="2812">
        <f>H35*1.05</f>
        <v>291.72150000000005</v>
      </c>
    </row>
    <row r="36" spans="1:9" x14ac:dyDescent="0.2">
      <c r="A36" s="1910" t="s">
        <v>227</v>
      </c>
      <c r="B36" s="1938" t="str">
        <f>Бюд.р.!A82</f>
        <v>АППАРАТ ПРЕДСТАВИТЕЛЬНОГО ОРГАНА МУНИЦИПАЛЬНОГО ОБРАЗОВАНИЯ</v>
      </c>
      <c r="C36" s="1864">
        <v>925</v>
      </c>
      <c r="D36" s="1864">
        <v>103</v>
      </c>
      <c r="E36" s="1864" t="str">
        <f>Бюд.р.!D82</f>
        <v>002  04 00</v>
      </c>
      <c r="F36" s="1865"/>
      <c r="G36" s="1953">
        <f>SUM(G37:G39)</f>
        <v>2035.5260000000003</v>
      </c>
      <c r="H36" s="1953">
        <f>SUM(H37:H39)</f>
        <v>2137.3023000000003</v>
      </c>
      <c r="I36" s="2741">
        <f>SUM(I37:I39)</f>
        <v>2244.1674150000003</v>
      </c>
    </row>
    <row r="37" spans="1:9" ht="33.75" customHeight="1" x14ac:dyDescent="0.2">
      <c r="A37" s="1913" t="s">
        <v>155</v>
      </c>
      <c r="B37" s="1939" t="str">
        <f>Бюд.р.!A83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1867">
        <v>925</v>
      </c>
      <c r="D37" s="1867">
        <v>103</v>
      </c>
      <c r="E37" s="1867" t="str">
        <f>Бюд.р.!D83</f>
        <v>002  04 00</v>
      </c>
      <c r="F37" s="1868">
        <f>Бюд.р.!F83</f>
        <v>100</v>
      </c>
      <c r="G37" s="1954">
        <f>Бюд.р.!H83</f>
        <v>817.67800000000011</v>
      </c>
      <c r="H37" s="2812">
        <f t="shared" ref="H37:I39" si="2">G37*1.05</f>
        <v>858.56190000000015</v>
      </c>
      <c r="I37" s="2812">
        <f t="shared" si="2"/>
        <v>901.48999500000025</v>
      </c>
    </row>
    <row r="38" spans="1:9" x14ac:dyDescent="0.2">
      <c r="A38" s="1913" t="s">
        <v>1124</v>
      </c>
      <c r="B38" s="1869" t="str">
        <f>Бюд.р.!A89</f>
        <v>Закупка товаров, работ и услуг  для государственных (муниципальных) нужд</v>
      </c>
      <c r="C38" s="1867">
        <v>925</v>
      </c>
      <c r="D38" s="1867">
        <v>103</v>
      </c>
      <c r="E38" s="1867" t="str">
        <f>Бюд.р.!D89</f>
        <v>002 04 00</v>
      </c>
      <c r="F38" s="1868">
        <f>Бюд.р.!F89</f>
        <v>200</v>
      </c>
      <c r="G38" s="1954">
        <f>Бюд.р.!H89</f>
        <v>1214.6490000000001</v>
      </c>
      <c r="H38" s="2812">
        <f t="shared" si="2"/>
        <v>1275.3814500000001</v>
      </c>
      <c r="I38" s="2812">
        <f t="shared" si="2"/>
        <v>1339.1505225000001</v>
      </c>
    </row>
    <row r="39" spans="1:9" ht="13.5" thickBot="1" x14ac:dyDescent="0.25">
      <c r="A39" s="1913" t="s">
        <v>1125</v>
      </c>
      <c r="B39" s="1869" t="str">
        <f>Бюд.р.!A99</f>
        <v>Иные бюджетные ассигнования</v>
      </c>
      <c r="C39" s="1867">
        <v>925</v>
      </c>
      <c r="D39" s="1867">
        <v>103</v>
      </c>
      <c r="E39" s="1867" t="str">
        <f>Бюд.р.!D99</f>
        <v>002  04 00</v>
      </c>
      <c r="F39" s="1868">
        <f>Бюд.р.!F99</f>
        <v>800</v>
      </c>
      <c r="G39" s="1954">
        <f>Бюд.р.!H99</f>
        <v>3.1989999999999998</v>
      </c>
      <c r="H39" s="2812">
        <f t="shared" si="2"/>
        <v>3.3589500000000001</v>
      </c>
      <c r="I39" s="2812">
        <f t="shared" si="2"/>
        <v>3.5268975000000005</v>
      </c>
    </row>
    <row r="40" spans="1:9" ht="13.5" thickBot="1" x14ac:dyDescent="0.25">
      <c r="A40" s="1909" t="s">
        <v>526</v>
      </c>
      <c r="B40" s="2777" t="s">
        <v>512</v>
      </c>
      <c r="C40" s="2778" t="s">
        <v>696</v>
      </c>
      <c r="D40" s="2778"/>
      <c r="E40" s="2778"/>
      <c r="F40" s="2779"/>
      <c r="G40" s="2780" t="e">
        <f>G41+G74+G80+G87+G109+G113+G135+G144+G156+G160</f>
        <v>#REF!</v>
      </c>
      <c r="H40" s="2781" t="e">
        <f>H41+H74+H80+H87+H109+H113+H135+H144+H156+H160</f>
        <v>#REF!</v>
      </c>
      <c r="I40" s="2781" t="e">
        <f>I41+I74+I80+I87+I109+I113+I135+I144+I156+I160</f>
        <v>#REF!</v>
      </c>
    </row>
    <row r="41" spans="1:9" x14ac:dyDescent="0.2">
      <c r="A41" s="1910" t="s">
        <v>289</v>
      </c>
      <c r="B41" s="1944" t="s">
        <v>122</v>
      </c>
      <c r="C41" s="1785" t="s">
        <v>696</v>
      </c>
      <c r="D41" s="1785" t="s">
        <v>511</v>
      </c>
      <c r="E41" s="1785"/>
      <c r="F41" s="1879"/>
      <c r="G41" s="1955" t="e">
        <f>G42+G52+G55</f>
        <v>#REF!</v>
      </c>
      <c r="H41" s="1955" t="e">
        <f>H42+H52+H55</f>
        <v>#REF!</v>
      </c>
      <c r="I41" s="1955" t="e">
        <f>I42+I52+I55</f>
        <v>#REF!</v>
      </c>
    </row>
    <row r="42" spans="1:9" ht="48" x14ac:dyDescent="0.2">
      <c r="A42" s="1911" t="s">
        <v>225</v>
      </c>
      <c r="B42" s="1937" t="s">
        <v>1051</v>
      </c>
      <c r="C42" s="1784" t="s">
        <v>696</v>
      </c>
      <c r="D42" s="1784" t="s">
        <v>530</v>
      </c>
      <c r="E42" s="1784"/>
      <c r="F42" s="1878"/>
      <c r="G42" s="1956">
        <f>G43+G45+G50</f>
        <v>26767.585999999996</v>
      </c>
      <c r="H42" s="1956">
        <f>H43+H45+H50</f>
        <v>28105.985300000008</v>
      </c>
      <c r="I42" s="2782">
        <f>I43+I45+I50</f>
        <v>29511.289565000006</v>
      </c>
    </row>
    <row r="43" spans="1:9" x14ac:dyDescent="0.2">
      <c r="A43" s="1910" t="s">
        <v>8</v>
      </c>
      <c r="B43" s="2783" t="s">
        <v>107</v>
      </c>
      <c r="C43" s="1864" t="s">
        <v>696</v>
      </c>
      <c r="D43" s="2784" t="s">
        <v>530</v>
      </c>
      <c r="E43" s="1864" t="s">
        <v>531</v>
      </c>
      <c r="F43" s="1865"/>
      <c r="G43" s="2785">
        <f>G44</f>
        <v>1117.634</v>
      </c>
      <c r="H43" s="2787">
        <f>H44</f>
        <v>1173.5157000000002</v>
      </c>
      <c r="I43" s="2787">
        <f>I44</f>
        <v>1232.1914850000003</v>
      </c>
    </row>
    <row r="44" spans="1:9" ht="36.75" customHeight="1" x14ac:dyDescent="0.2">
      <c r="A44" s="1910" t="s">
        <v>9</v>
      </c>
      <c r="B44" s="1939" t="str">
        <f>Бюд.р.!A152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2119" t="s">
        <v>696</v>
      </c>
      <c r="D44" s="2124" t="s">
        <v>530</v>
      </c>
      <c r="E44" s="2119" t="str">
        <f>Бюд.р.!D152</f>
        <v>002  05 00</v>
      </c>
      <c r="F44" s="1866">
        <f>Бюд.р.!F152</f>
        <v>100</v>
      </c>
      <c r="G44" s="2786">
        <f>Бюд.р.!H152</f>
        <v>1117.634</v>
      </c>
      <c r="H44" s="2813">
        <f>G44*1.05</f>
        <v>1173.5157000000002</v>
      </c>
      <c r="I44" s="2813">
        <f>H44*1.05</f>
        <v>1232.1914850000003</v>
      </c>
    </row>
    <row r="45" spans="1:9" ht="22.5" x14ac:dyDescent="0.2">
      <c r="A45" s="1911" t="s">
        <v>1126</v>
      </c>
      <c r="B45" s="2783" t="s">
        <v>72</v>
      </c>
      <c r="C45" s="1864" t="s">
        <v>696</v>
      </c>
      <c r="D45" s="2784" t="s">
        <v>530</v>
      </c>
      <c r="E45" s="1864" t="str">
        <f>Бюд.р.!D159</f>
        <v>002  06 01</v>
      </c>
      <c r="F45" s="1865"/>
      <c r="G45" s="2785">
        <f>SUM(G46:G49)</f>
        <v>25644.351999999999</v>
      </c>
      <c r="H45" s="2785">
        <f>SUM(H46:H49)</f>
        <v>26926.569600000006</v>
      </c>
      <c r="I45" s="2787">
        <f>SUM(I46:I49)</f>
        <v>28272.898080000006</v>
      </c>
    </row>
    <row r="46" spans="1:9" ht="32.25" customHeight="1" x14ac:dyDescent="0.2">
      <c r="A46" s="1911" t="s">
        <v>215</v>
      </c>
      <c r="B46" s="1939" t="str">
        <f>Бюд.р.!A159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2119">
        <v>968</v>
      </c>
      <c r="D46" s="2124" t="s">
        <v>530</v>
      </c>
      <c r="E46" s="2119" t="str">
        <f>Бюд.р.!D159</f>
        <v>002  06 01</v>
      </c>
      <c r="F46" s="1866">
        <f>Бюд.р.!F159</f>
        <v>100</v>
      </c>
      <c r="G46" s="2786">
        <f>Бюд.р.!H159</f>
        <v>19631.649000000001</v>
      </c>
      <c r="H46" s="2813">
        <f>G46*1.05</f>
        <v>20613.231450000003</v>
      </c>
      <c r="I46" s="2813">
        <f>H46*1.05</f>
        <v>21643.893022500004</v>
      </c>
    </row>
    <row r="47" spans="1:9" x14ac:dyDescent="0.2">
      <c r="A47" s="1911" t="s">
        <v>1127</v>
      </c>
      <c r="B47" s="2788" t="str">
        <f>Бюд.р.!A165</f>
        <v>Закупка товаров, работ и услуг  для государственных (муниципальных) нужд</v>
      </c>
      <c r="C47" s="2119">
        <v>968</v>
      </c>
      <c r="D47" s="2124" t="s">
        <v>530</v>
      </c>
      <c r="E47" s="2119" t="str">
        <f>Бюд.р.!D166</f>
        <v>002  06 01</v>
      </c>
      <c r="F47" s="1866">
        <f>Бюд.р.!F165</f>
        <v>200</v>
      </c>
      <c r="G47" s="2786">
        <f>Бюд.р.!H165</f>
        <v>5925.0360000000001</v>
      </c>
      <c r="H47" s="2813">
        <f t="shared" ref="H47:I49" si="3">G47*1.05</f>
        <v>6221.2878000000001</v>
      </c>
      <c r="I47" s="2813">
        <f t="shared" si="3"/>
        <v>6532.3521900000005</v>
      </c>
    </row>
    <row r="48" spans="1:9" x14ac:dyDescent="0.2">
      <c r="A48" s="1914"/>
      <c r="B48" s="2788" t="str">
        <f>Бюд.р.!A187</f>
        <v>Социальное обеспечение и иные выплаты населению</v>
      </c>
      <c r="C48" s="2119">
        <v>968</v>
      </c>
      <c r="D48" s="2124" t="s">
        <v>530</v>
      </c>
      <c r="E48" s="2119" t="str">
        <f>Бюд.р.!D187</f>
        <v>002  06 01</v>
      </c>
      <c r="F48" s="1866">
        <f>Бюд.р.!F187</f>
        <v>300</v>
      </c>
      <c r="G48" s="2786">
        <f>Бюд.р.!H187</f>
        <v>57.067</v>
      </c>
      <c r="H48" s="2813">
        <f t="shared" si="3"/>
        <v>59.920350000000006</v>
      </c>
      <c r="I48" s="2813">
        <f t="shared" si="3"/>
        <v>62.916367500000007</v>
      </c>
    </row>
    <row r="49" spans="1:9" x14ac:dyDescent="0.2">
      <c r="A49" s="1911" t="s">
        <v>41</v>
      </c>
      <c r="B49" s="2788" t="str">
        <f>Бюд.р.!A201</f>
        <v>Иные бюджетные ассигнования</v>
      </c>
      <c r="C49" s="2119">
        <v>968</v>
      </c>
      <c r="D49" s="2124" t="s">
        <v>530</v>
      </c>
      <c r="E49" s="2119" t="str">
        <f>Бюд.р.!D201</f>
        <v>002  06 01</v>
      </c>
      <c r="F49" s="1866">
        <f>Бюд.р.!F201</f>
        <v>800</v>
      </c>
      <c r="G49" s="2786">
        <f>Бюд.р.!H201</f>
        <v>30.6</v>
      </c>
      <c r="H49" s="2813">
        <f t="shared" si="3"/>
        <v>32.130000000000003</v>
      </c>
      <c r="I49" s="2813">
        <f t="shared" si="3"/>
        <v>33.736500000000007</v>
      </c>
    </row>
    <row r="50" spans="1:9" ht="41.25" customHeight="1" x14ac:dyDescent="0.2">
      <c r="A50" s="1912" t="s">
        <v>745</v>
      </c>
      <c r="B50" s="2723" t="str">
        <f>Бюд.р.!A208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50" s="2719">
        <v>968</v>
      </c>
      <c r="D50" s="2720" t="s">
        <v>530</v>
      </c>
      <c r="E50" s="2719" t="str">
        <f>Бюд.р.!D208</f>
        <v>002  80 10</v>
      </c>
      <c r="F50" s="2721"/>
      <c r="G50" s="2785">
        <f>G51</f>
        <v>5.6</v>
      </c>
      <c r="H50" s="2787">
        <f>H51</f>
        <v>5.9</v>
      </c>
      <c r="I50" s="2787">
        <f>I51</f>
        <v>6.2</v>
      </c>
    </row>
    <row r="51" spans="1:9" x14ac:dyDescent="0.2">
      <c r="A51" s="1910" t="s">
        <v>746</v>
      </c>
      <c r="B51" s="1869" t="str">
        <f>Бюд.р.!A209</f>
        <v>Закупка товаров, работ и услуг  для государственных (муниципальных) нужд</v>
      </c>
      <c r="C51" s="1867">
        <v>968</v>
      </c>
      <c r="D51" s="2125" t="s">
        <v>530</v>
      </c>
      <c r="E51" s="1867" t="str">
        <f>Бюд.р.!D209</f>
        <v>002  80 10</v>
      </c>
      <c r="F51" s="1868">
        <f>Бюд.р.!F209</f>
        <v>200</v>
      </c>
      <c r="G51" s="2786">
        <f>Бюд.р.!H209</f>
        <v>5.6</v>
      </c>
      <c r="H51" s="2813">
        <v>5.9</v>
      </c>
      <c r="I51" s="2813">
        <v>6.2</v>
      </c>
    </row>
    <row r="52" spans="1:9" x14ac:dyDescent="0.2">
      <c r="A52" s="1911" t="s">
        <v>489</v>
      </c>
      <c r="B52" s="1941" t="s">
        <v>31</v>
      </c>
      <c r="C52" s="1886">
        <v>968</v>
      </c>
      <c r="D52" s="2711" t="s">
        <v>1440</v>
      </c>
      <c r="E52" s="1886"/>
      <c r="F52" s="1887"/>
      <c r="G52" s="1957">
        <f t="shared" ref="G52:I53" si="4">G53</f>
        <v>2739.1710000000003</v>
      </c>
      <c r="H52" s="2742">
        <f t="shared" si="4"/>
        <v>2876.1295500000006</v>
      </c>
      <c r="I52" s="2742">
        <f t="shared" si="4"/>
        <v>3019.9360275000008</v>
      </c>
    </row>
    <row r="53" spans="1:9" x14ac:dyDescent="0.2">
      <c r="A53" s="1912" t="s">
        <v>349</v>
      </c>
      <c r="B53" s="2723" t="s">
        <v>32</v>
      </c>
      <c r="C53" s="2719">
        <v>968</v>
      </c>
      <c r="D53" s="2720" t="s">
        <v>1440</v>
      </c>
      <c r="E53" s="2719" t="s">
        <v>33</v>
      </c>
      <c r="F53" s="2721"/>
      <c r="G53" s="1953">
        <f t="shared" si="4"/>
        <v>2739.1710000000003</v>
      </c>
      <c r="H53" s="2741">
        <f t="shared" si="4"/>
        <v>2876.1295500000006</v>
      </c>
      <c r="I53" s="2741">
        <f t="shared" si="4"/>
        <v>3019.9360275000008</v>
      </c>
    </row>
    <row r="54" spans="1:9" x14ac:dyDescent="0.2">
      <c r="A54" s="1910" t="s">
        <v>805</v>
      </c>
      <c r="B54" s="1891" t="str">
        <f>Бюд.р.!A222</f>
        <v>Иные бюджетные ассигнования</v>
      </c>
      <c r="C54" s="1784">
        <v>968</v>
      </c>
      <c r="D54" s="2712" t="s">
        <v>1440</v>
      </c>
      <c r="E54" s="1784" t="str">
        <f>Бюд.р.!D222</f>
        <v>070 01 01</v>
      </c>
      <c r="F54" s="1878">
        <f>Бюд.р.!F222</f>
        <v>800</v>
      </c>
      <c r="G54" s="1956">
        <f>Бюд.р.!H222</f>
        <v>2739.1710000000003</v>
      </c>
      <c r="H54" s="2814">
        <f>G54*1.05</f>
        <v>2876.1295500000006</v>
      </c>
      <c r="I54" s="2814">
        <f>H54*1.05</f>
        <v>3019.9360275000008</v>
      </c>
    </row>
    <row r="55" spans="1:9" ht="15" customHeight="1" x14ac:dyDescent="0.2">
      <c r="A55" s="1911" t="s">
        <v>109</v>
      </c>
      <c r="B55" s="2715" t="s">
        <v>464</v>
      </c>
      <c r="C55" s="1893" t="s">
        <v>696</v>
      </c>
      <c r="D55" s="2135" t="s">
        <v>1054</v>
      </c>
      <c r="E55" s="2136"/>
      <c r="F55" s="2213"/>
      <c r="G55" s="2714" t="e">
        <f>G56+G58+G60+G62+G64+G66+G68+G70+G72</f>
        <v>#REF!</v>
      </c>
      <c r="H55" s="2714" t="e">
        <f>H56+H58+H60+H62+H64+H66+H68+H70+H72</f>
        <v>#REF!</v>
      </c>
      <c r="I55" s="2714" t="e">
        <f>I56+I58+I60+I62+I64+I66+I68+I70+I72</f>
        <v>#REF!</v>
      </c>
    </row>
    <row r="56" spans="1:9" ht="28.5" customHeight="1" x14ac:dyDescent="0.2">
      <c r="A56" s="1910" t="s">
        <v>890</v>
      </c>
      <c r="B56" s="2723" t="s">
        <v>1137</v>
      </c>
      <c r="C56" s="2719" t="s">
        <v>696</v>
      </c>
      <c r="D56" s="2720" t="s">
        <v>1054</v>
      </c>
      <c r="E56" s="2731" t="str">
        <f>Бюд.р.!D227</f>
        <v>090 01 00</v>
      </c>
      <c r="F56" s="2721"/>
      <c r="G56" s="1953">
        <f>G57</f>
        <v>109.65</v>
      </c>
      <c r="H56" s="2741">
        <f>H57</f>
        <v>115.13250000000001</v>
      </c>
      <c r="I56" s="2741">
        <f>I57</f>
        <v>120.88912500000001</v>
      </c>
    </row>
    <row r="57" spans="1:9" x14ac:dyDescent="0.2">
      <c r="A57" s="1911" t="s">
        <v>527</v>
      </c>
      <c r="B57" s="1891" t="str">
        <f>Бюд.р.!A228</f>
        <v>Закупка товаров, работ и услуг  для государственных (муниципальных) нужд</v>
      </c>
      <c r="C57" s="1784" t="s">
        <v>696</v>
      </c>
      <c r="D57" s="2712" t="s">
        <v>1054</v>
      </c>
      <c r="E57" s="1784" t="str">
        <f>Бюд.р.!D228</f>
        <v>090 01 00</v>
      </c>
      <c r="F57" s="1878">
        <f>Бюд.р.!F228</f>
        <v>200</v>
      </c>
      <c r="G57" s="1956">
        <f>Бюд.р.!H228</f>
        <v>109.65</v>
      </c>
      <c r="H57" s="2814">
        <f>G57*1.05</f>
        <v>115.13250000000001</v>
      </c>
      <c r="I57" s="2814">
        <f>H57*1.05</f>
        <v>120.88912500000001</v>
      </c>
    </row>
    <row r="58" spans="1:9" ht="31.5" customHeight="1" x14ac:dyDescent="0.2">
      <c r="A58" s="1910" t="s">
        <v>1030</v>
      </c>
      <c r="B58" s="2723" t="str">
        <f>Бюд.р.!A240</f>
        <v>РАСХОДЫ НА ОСУЩЕСТВЛЕНИЕ ЗАКУПОК ТОВАРОВ, РАБОТ, УСЛУГ ДЛЯ ОБЕСПЕЧЕНИЯ МУНИЦИПАЛЬНЫХ НУЖД</v>
      </c>
      <c r="C58" s="2719">
        <v>968</v>
      </c>
      <c r="D58" s="2720" t="s">
        <v>1054</v>
      </c>
      <c r="E58" s="2719" t="str">
        <f>E59</f>
        <v>092 02 00</v>
      </c>
      <c r="F58" s="2721"/>
      <c r="G58" s="1953">
        <f>G59</f>
        <v>400</v>
      </c>
      <c r="H58" s="2741">
        <f>H59</f>
        <v>420</v>
      </c>
      <c r="I58" s="2741">
        <f>I59</f>
        <v>441</v>
      </c>
    </row>
    <row r="59" spans="1:9" x14ac:dyDescent="0.2">
      <c r="A59" s="1911" t="s">
        <v>1031</v>
      </c>
      <c r="B59" s="1891" t="str">
        <f>Бюд.р.!A241</f>
        <v>Закупка товаров, работ и услуг  для государственных (муниципальных) нужд</v>
      </c>
      <c r="C59" s="1784">
        <v>968</v>
      </c>
      <c r="D59" s="2712" t="s">
        <v>1054</v>
      </c>
      <c r="E59" s="1784" t="str">
        <f>Бюд.р.!D241</f>
        <v>092 02 00</v>
      </c>
      <c r="F59" s="1878">
        <f>Бюд.р.!F241</f>
        <v>200</v>
      </c>
      <c r="G59" s="1956">
        <f>Бюд.р.!H241</f>
        <v>400</v>
      </c>
      <c r="H59" s="2814">
        <f>G59*1.05</f>
        <v>420</v>
      </c>
      <c r="I59" s="2814">
        <f>H59*1.05</f>
        <v>441</v>
      </c>
    </row>
    <row r="60" spans="1:9" ht="33.75" x14ac:dyDescent="0.2">
      <c r="A60" s="1910" t="s">
        <v>1032</v>
      </c>
      <c r="B60" s="2723" t="str">
        <f>Бюд.р.!A245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60" s="2719">
        <v>968</v>
      </c>
      <c r="D60" s="2720" t="s">
        <v>1054</v>
      </c>
      <c r="E60" s="2719" t="str">
        <f>Бюд.р.!D245</f>
        <v>092 05 00</v>
      </c>
      <c r="F60" s="2721"/>
      <c r="G60" s="1953">
        <f>G61</f>
        <v>72</v>
      </c>
      <c r="H60" s="2741">
        <f>H61</f>
        <v>75.600000000000009</v>
      </c>
      <c r="I60" s="2741">
        <f>I61</f>
        <v>79.38000000000001</v>
      </c>
    </row>
    <row r="61" spans="1:9" ht="15.75" customHeight="1" x14ac:dyDescent="0.2">
      <c r="A61" s="1915" t="s">
        <v>1033</v>
      </c>
      <c r="B61" s="1891" t="str">
        <f>Бюд.р.!A246</f>
        <v>Иные бюджетные ассигнования</v>
      </c>
      <c r="C61" s="1784" t="s">
        <v>696</v>
      </c>
      <c r="D61" s="2712" t="s">
        <v>1054</v>
      </c>
      <c r="E61" s="1784" t="str">
        <f>Бюд.р.!D246</f>
        <v>092 05 00</v>
      </c>
      <c r="F61" s="1878">
        <f>Бюд.р.!F246</f>
        <v>800</v>
      </c>
      <c r="G61" s="1956">
        <f>Бюд.р.!H246</f>
        <v>72</v>
      </c>
      <c r="H61" s="2814">
        <f>G61*1.05</f>
        <v>75.600000000000009</v>
      </c>
      <c r="I61" s="2814">
        <f>H61*1.05</f>
        <v>79.38000000000001</v>
      </c>
    </row>
    <row r="62" spans="1:9" ht="48" customHeight="1" x14ac:dyDescent="0.2">
      <c r="A62" s="1910" t="s">
        <v>1095</v>
      </c>
      <c r="B62" s="2723" t="str">
        <f>Бюд.р.!A250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2" s="2719">
        <v>968</v>
      </c>
      <c r="D62" s="2720" t="s">
        <v>1054</v>
      </c>
      <c r="E62" s="2719" t="str">
        <f>E63</f>
        <v>092 06 00</v>
      </c>
      <c r="F62" s="2721"/>
      <c r="G62" s="1953">
        <f>G63</f>
        <v>333.91999999999996</v>
      </c>
      <c r="H62" s="2741">
        <f>H63</f>
        <v>350.61599999999999</v>
      </c>
      <c r="I62" s="2741">
        <f>I63</f>
        <v>368.14679999999998</v>
      </c>
    </row>
    <row r="63" spans="1:9" ht="15" customHeight="1" x14ac:dyDescent="0.2">
      <c r="A63" s="1915" t="s">
        <v>1096</v>
      </c>
      <c r="B63" s="1891" t="str">
        <f>Бюд.р.!A251</f>
        <v>Закупка товаров, работ и услуг  для государственных (муниципальных) нужд</v>
      </c>
      <c r="C63" s="1784">
        <v>968</v>
      </c>
      <c r="D63" s="2712" t="s">
        <v>1054</v>
      </c>
      <c r="E63" s="1784" t="str">
        <f>Бюд.р.!D251</f>
        <v>092 06 00</v>
      </c>
      <c r="F63" s="1878">
        <f>Бюд.р.!F251</f>
        <v>200</v>
      </c>
      <c r="G63" s="1956">
        <f>Бюд.р.!H251</f>
        <v>333.91999999999996</v>
      </c>
      <c r="H63" s="2814">
        <f>G63*1.05</f>
        <v>350.61599999999999</v>
      </c>
      <c r="I63" s="2814">
        <f>H63*1.05</f>
        <v>368.14679999999998</v>
      </c>
    </row>
    <row r="64" spans="1:9" ht="20.25" customHeight="1" x14ac:dyDescent="0.2">
      <c r="A64" s="1914" t="s">
        <v>1226</v>
      </c>
      <c r="B64" s="2723" t="str">
        <f>Бюд.р.!A255</f>
        <v>РАСХОДЫ НА ПОДДЕРЖАНИЕ САЙТА МО МО ОЗЕРО ДОЛГОЕ</v>
      </c>
      <c r="C64" s="2719">
        <f>Бюд.р.!B255</f>
        <v>968</v>
      </c>
      <c r="D64" s="2720" t="s">
        <v>1054</v>
      </c>
      <c r="E64" s="2719" t="str">
        <f>E65</f>
        <v>092 08 00</v>
      </c>
      <c r="F64" s="2721"/>
      <c r="G64" s="1953">
        <f>G65</f>
        <v>0</v>
      </c>
      <c r="H64" s="2741">
        <f>H65</f>
        <v>0</v>
      </c>
      <c r="I64" s="2741">
        <f>I65</f>
        <v>0</v>
      </c>
    </row>
    <row r="65" spans="1:10" ht="14.25" customHeight="1" x14ac:dyDescent="0.2">
      <c r="A65" s="1911" t="s">
        <v>1227</v>
      </c>
      <c r="B65" s="1891" t="str">
        <f>Бюд.р.!A256</f>
        <v>Закупка товаров, работ и услуг  для государственных (муниципальных) нужд</v>
      </c>
      <c r="C65" s="1784">
        <v>968</v>
      </c>
      <c r="D65" s="2712" t="s">
        <v>1054</v>
      </c>
      <c r="E65" s="1784" t="str">
        <f>Бюд.р.!D256</f>
        <v>092 08 00</v>
      </c>
      <c r="F65" s="1878">
        <f>Бюд.р.!F256</f>
        <v>200</v>
      </c>
      <c r="G65" s="1956">
        <f>Бюд.р.!H256</f>
        <v>0</v>
      </c>
      <c r="H65" s="2814">
        <f>G65*1.05</f>
        <v>0</v>
      </c>
      <c r="I65" s="2814">
        <f>H65*1.05</f>
        <v>0</v>
      </c>
    </row>
    <row r="66" spans="1:10" x14ac:dyDescent="0.2">
      <c r="A66" s="1910" t="s">
        <v>1228</v>
      </c>
      <c r="B66" s="2723" t="e">
        <f>Бюд.р.!#REF!</f>
        <v>#REF!</v>
      </c>
      <c r="C66" s="2719">
        <v>968</v>
      </c>
      <c r="D66" s="2720" t="s">
        <v>1054</v>
      </c>
      <c r="E66" s="2719" t="e">
        <f>Бюд.р.!#REF!</f>
        <v>#REF!</v>
      </c>
      <c r="F66" s="2721"/>
      <c r="G66" s="1953" t="e">
        <f>G67</f>
        <v>#REF!</v>
      </c>
      <c r="H66" s="1953" t="e">
        <f>H67</f>
        <v>#REF!</v>
      </c>
      <c r="I66" s="2741" t="e">
        <f>I67</f>
        <v>#REF!</v>
      </c>
    </row>
    <row r="67" spans="1:10" ht="13.5" thickBot="1" x14ac:dyDescent="0.25">
      <c r="A67" s="2716"/>
      <c r="B67" s="1891" t="e">
        <f>Бюд.р.!#REF!</f>
        <v>#REF!</v>
      </c>
      <c r="C67" s="1784">
        <v>968</v>
      </c>
      <c r="D67" s="2712" t="s">
        <v>1054</v>
      </c>
      <c r="E67" s="1784" t="e">
        <f>Бюд.р.!#REF!</f>
        <v>#REF!</v>
      </c>
      <c r="F67" s="1878" t="e">
        <f>Бюд.р.!#REF!</f>
        <v>#REF!</v>
      </c>
      <c r="G67" s="1956" t="e">
        <f>Бюд.р.!#REF!</f>
        <v>#REF!</v>
      </c>
      <c r="H67" s="2782" t="e">
        <f>G67*1.05</f>
        <v>#REF!</v>
      </c>
      <c r="I67" s="2782" t="e">
        <f>H67*1.05</f>
        <v>#REF!</v>
      </c>
    </row>
    <row r="68" spans="1:10" ht="23.25" thickBot="1" x14ac:dyDescent="0.25">
      <c r="A68" s="1908" t="s">
        <v>739</v>
      </c>
      <c r="B68" s="2723" t="str">
        <f>Бюд.р.!A266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68" s="2719">
        <v>968</v>
      </c>
      <c r="D68" s="2720" t="s">
        <v>1054</v>
      </c>
      <c r="E68" s="2719" t="str">
        <f>Бюд.р.!D266</f>
        <v>795 02 00</v>
      </c>
      <c r="F68" s="2721"/>
      <c r="G68" s="1953">
        <f>G69</f>
        <v>90</v>
      </c>
      <c r="H68" s="1953">
        <f>H69</f>
        <v>94.5</v>
      </c>
      <c r="I68" s="2741">
        <f>I69</f>
        <v>99.225000000000009</v>
      </c>
    </row>
    <row r="69" spans="1:10" x14ac:dyDescent="0.2">
      <c r="A69" s="2717"/>
      <c r="B69" s="1891" t="str">
        <f>Бюд.р.!A267</f>
        <v>Закупка товаров, работ и услуг  для государственных (муниципальных) нужд</v>
      </c>
      <c r="C69" s="1784">
        <v>968</v>
      </c>
      <c r="D69" s="2712" t="s">
        <v>1054</v>
      </c>
      <c r="E69" s="1784" t="str">
        <f>Бюд.р.!D267</f>
        <v>795 02 00</v>
      </c>
      <c r="F69" s="1878">
        <f>Бюд.р.!F267</f>
        <v>200</v>
      </c>
      <c r="G69" s="1956">
        <f>Бюд.р.!H267</f>
        <v>90</v>
      </c>
      <c r="H69" s="2782">
        <f>G69*1.05</f>
        <v>94.5</v>
      </c>
      <c r="I69" s="2782">
        <f>H69*1.05</f>
        <v>99.225000000000009</v>
      </c>
    </row>
    <row r="70" spans="1:10" x14ac:dyDescent="0.2">
      <c r="A70" s="1909" t="s">
        <v>350</v>
      </c>
      <c r="B70" s="2723" t="str">
        <f>Бюд.р.!A261</f>
        <v>РАСХОДЫ НА ОСУЩЕСТВЛЕНИЕ ЗАЩИТЫ ПРАВ ПОТРЕБИТЕЛЕЙ</v>
      </c>
      <c r="C70" s="2719">
        <v>968</v>
      </c>
      <c r="D70" s="2720" t="s">
        <v>1054</v>
      </c>
      <c r="E70" s="2719" t="str">
        <f>E71</f>
        <v>092 10 00</v>
      </c>
      <c r="F70" s="2721"/>
      <c r="G70" s="1953">
        <f>G71</f>
        <v>133.91999999999999</v>
      </c>
      <c r="H70" s="1953">
        <f>H71</f>
        <v>140.61599999999999</v>
      </c>
      <c r="I70" s="2741">
        <f>I71</f>
        <v>147.64679999999998</v>
      </c>
    </row>
    <row r="71" spans="1:10" x14ac:dyDescent="0.2">
      <c r="A71" s="1909"/>
      <c r="B71" s="1869" t="str">
        <f>Бюд.р.!A262</f>
        <v>Закупка товаров, работ и услуг  для государственных (муниципальных) нужд</v>
      </c>
      <c r="C71" s="1867">
        <v>968</v>
      </c>
      <c r="D71" s="2125" t="s">
        <v>1054</v>
      </c>
      <c r="E71" s="1867" t="str">
        <f>Бюд.р.!D262</f>
        <v>092 10 00</v>
      </c>
      <c r="F71" s="1868">
        <f>Бюд.р.!F262</f>
        <v>200</v>
      </c>
      <c r="G71" s="2786">
        <f>Бюд.р.!H262</f>
        <v>133.91999999999999</v>
      </c>
      <c r="H71" s="2813">
        <f>G71*1.05</f>
        <v>140.61599999999999</v>
      </c>
      <c r="I71" s="2813">
        <f>H71*1.05</f>
        <v>147.64679999999998</v>
      </c>
    </row>
    <row r="72" spans="1:10" ht="48" customHeight="1" x14ac:dyDescent="0.2">
      <c r="A72" s="1909"/>
      <c r="B72" s="2723" t="str">
        <f>Бюд.р.!A273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72" s="2719">
        <v>968</v>
      </c>
      <c r="D72" s="2720" t="s">
        <v>1054</v>
      </c>
      <c r="E72" s="2719" t="str">
        <f>E73</f>
        <v>795 11 00</v>
      </c>
      <c r="F72" s="2721"/>
      <c r="G72" s="1953">
        <f>G73</f>
        <v>136.5</v>
      </c>
      <c r="H72" s="1953">
        <f>H73</f>
        <v>143.32500000000002</v>
      </c>
      <c r="I72" s="2741">
        <f>I73</f>
        <v>150.49125000000004</v>
      </c>
    </row>
    <row r="73" spans="1:10" ht="15" customHeight="1" x14ac:dyDescent="0.2">
      <c r="A73" s="1909"/>
      <c r="B73" s="1869" t="str">
        <f>Бюд.р.!A274</f>
        <v>Закупка товаров, работ и услуг  для государственных (муниципальных) нужд</v>
      </c>
      <c r="C73" s="1867">
        <v>968</v>
      </c>
      <c r="D73" s="2125" t="s">
        <v>1054</v>
      </c>
      <c r="E73" s="1867" t="str">
        <f>Бюд.р.!D274</f>
        <v>795 11 00</v>
      </c>
      <c r="F73" s="1868">
        <f>Бюд.р.!F274</f>
        <v>200</v>
      </c>
      <c r="G73" s="2786">
        <f>Бюд.р.!H274</f>
        <v>136.5</v>
      </c>
      <c r="H73" s="2815">
        <f>G73*1.05</f>
        <v>143.32500000000002</v>
      </c>
      <c r="I73" s="2813">
        <f>H73*1.05</f>
        <v>150.49125000000004</v>
      </c>
    </row>
    <row r="74" spans="1:10" ht="24" x14ac:dyDescent="0.2">
      <c r="A74" s="1910" t="s">
        <v>806</v>
      </c>
      <c r="B74" s="1935" t="s">
        <v>281</v>
      </c>
      <c r="C74" s="1886" t="s">
        <v>696</v>
      </c>
      <c r="D74" s="2711" t="s">
        <v>523</v>
      </c>
      <c r="E74" s="1886"/>
      <c r="F74" s="1948"/>
      <c r="G74" s="1957">
        <f>G75</f>
        <v>276.351</v>
      </c>
      <c r="H74" s="1957">
        <f>H75</f>
        <v>290.16854999999998</v>
      </c>
      <c r="I74" s="2742">
        <f>I75</f>
        <v>304.67697750000002</v>
      </c>
    </row>
    <row r="75" spans="1:10" ht="25.5" customHeight="1" x14ac:dyDescent="0.2">
      <c r="A75" s="1916"/>
      <c r="B75" s="1935" t="str">
        <f>Рас.Пр.3!B69</f>
        <v>Защита населения и территории от чрезвычайных ситуаций природного и техногенного характера, гражданская оборона</v>
      </c>
      <c r="C75" s="1886">
        <v>968</v>
      </c>
      <c r="D75" s="2711" t="s">
        <v>462</v>
      </c>
      <c r="E75" s="1886"/>
      <c r="F75" s="1948"/>
      <c r="G75" s="1957">
        <f>G76+G78</f>
        <v>276.351</v>
      </c>
      <c r="H75" s="1957">
        <f>H76+H78</f>
        <v>290.16854999999998</v>
      </c>
      <c r="I75" s="2742">
        <f>I76+I78</f>
        <v>304.67697750000002</v>
      </c>
    </row>
    <row r="76" spans="1:10" ht="95.25" customHeight="1" x14ac:dyDescent="0.2">
      <c r="A76" s="1916" t="s">
        <v>110</v>
      </c>
      <c r="B76" s="2718" t="str">
        <f>Бюд.р.!A281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6" s="2719" t="s">
        <v>696</v>
      </c>
      <c r="D76" s="2720" t="s">
        <v>462</v>
      </c>
      <c r="E76" s="2719" t="str">
        <f>E77</f>
        <v>795 03 00</v>
      </c>
      <c r="F76" s="2721"/>
      <c r="G76" s="1953">
        <f>G77</f>
        <v>151.351</v>
      </c>
      <c r="H76" s="1953">
        <f>H77</f>
        <v>158.91855000000001</v>
      </c>
      <c r="I76" s="2741">
        <f>I77</f>
        <v>166.86447750000002</v>
      </c>
    </row>
    <row r="77" spans="1:10" ht="20.25" customHeight="1" thickBot="1" x14ac:dyDescent="0.25">
      <c r="A77" s="2716"/>
      <c r="B77" s="1936" t="str">
        <f>Бюд.р.!A282</f>
        <v>Закупка товаров, работ и услуг  для государственных (муниципальных) нужд</v>
      </c>
      <c r="C77" s="1784">
        <v>968</v>
      </c>
      <c r="D77" s="2712" t="s">
        <v>462</v>
      </c>
      <c r="E77" s="1784" t="str">
        <f>Бюд.р.!D282</f>
        <v>795 03 00</v>
      </c>
      <c r="F77" s="1878">
        <f>Бюд.р.!F282</f>
        <v>200</v>
      </c>
      <c r="G77" s="1956">
        <f>Бюд.р.!H282</f>
        <v>151.351</v>
      </c>
      <c r="H77" s="2782">
        <f>G77*1.05</f>
        <v>158.91855000000001</v>
      </c>
      <c r="I77" s="2782">
        <f>H77*1.05</f>
        <v>166.86447750000002</v>
      </c>
    </row>
    <row r="78" spans="1:10" ht="34.5" thickBot="1" x14ac:dyDescent="0.25">
      <c r="A78" s="1908" t="s">
        <v>740</v>
      </c>
      <c r="B78" s="2723" t="s">
        <v>1147</v>
      </c>
      <c r="C78" s="2719">
        <v>968</v>
      </c>
      <c r="D78" s="2720">
        <v>309</v>
      </c>
      <c r="E78" s="2719" t="str">
        <f>E79</f>
        <v>795 05 00</v>
      </c>
      <c r="F78" s="2721"/>
      <c r="G78" s="1953">
        <f>G79</f>
        <v>125</v>
      </c>
      <c r="H78" s="1953">
        <f>H79</f>
        <v>131.25</v>
      </c>
      <c r="I78" s="2741">
        <f>I79</f>
        <v>137.8125</v>
      </c>
    </row>
    <row r="79" spans="1:10" x14ac:dyDescent="0.2">
      <c r="A79" s="2717"/>
      <c r="B79" s="1891" t="str">
        <f>Бюд.р.!A303</f>
        <v>Закупка товаров, работ и услуг  для государственных (муниципальных) нужд</v>
      </c>
      <c r="C79" s="1784">
        <v>968</v>
      </c>
      <c r="D79" s="2712" t="s">
        <v>462</v>
      </c>
      <c r="E79" s="1784" t="str">
        <f>Бюд.р.!D303</f>
        <v>795 05 00</v>
      </c>
      <c r="F79" s="1878">
        <f>Бюд.р.!F303</f>
        <v>200</v>
      </c>
      <c r="G79" s="1952">
        <f>Бюд.р.!H303</f>
        <v>125</v>
      </c>
      <c r="H79" s="2810">
        <f>G79*1.05</f>
        <v>131.25</v>
      </c>
      <c r="I79" s="2810">
        <f>H79*1.05</f>
        <v>137.8125</v>
      </c>
    </row>
    <row r="80" spans="1:10" ht="15.75" customHeight="1" x14ac:dyDescent="0.2">
      <c r="A80" s="1910" t="s">
        <v>118</v>
      </c>
      <c r="B80" s="1935" t="s">
        <v>1014</v>
      </c>
      <c r="C80" s="1886" t="s">
        <v>696</v>
      </c>
      <c r="D80" s="2711" t="s">
        <v>1026</v>
      </c>
      <c r="E80" s="1886"/>
      <c r="F80" s="1948"/>
      <c r="G80" s="1957">
        <f>G81+G84</f>
        <v>186.5</v>
      </c>
      <c r="H80" s="1957">
        <f>H81+H84</f>
        <v>195.82500000000002</v>
      </c>
      <c r="I80" s="2742">
        <f>I81+I84</f>
        <v>205.61625000000004</v>
      </c>
      <c r="J80" s="1894"/>
    </row>
    <row r="81" spans="1:10" ht="13.5" customHeight="1" x14ac:dyDescent="0.2">
      <c r="A81" s="1917" t="s">
        <v>1232</v>
      </c>
      <c r="B81" s="2722" t="s">
        <v>1064</v>
      </c>
      <c r="C81" s="1893">
        <v>968</v>
      </c>
      <c r="D81" s="2135" t="s">
        <v>1441</v>
      </c>
      <c r="E81" s="1893"/>
      <c r="F81" s="1949"/>
      <c r="G81" s="2714">
        <f t="shared" ref="G81:I82" si="5">G82</f>
        <v>166.5</v>
      </c>
      <c r="H81" s="1958">
        <f t="shared" si="5"/>
        <v>174.82500000000002</v>
      </c>
      <c r="I81" s="1958">
        <f t="shared" si="5"/>
        <v>183.56625000000003</v>
      </c>
      <c r="J81" s="1895"/>
    </row>
    <row r="82" spans="1:10" ht="22.5" x14ac:dyDescent="0.2">
      <c r="A82" s="1909" t="s">
        <v>893</v>
      </c>
      <c r="B82" s="2723" t="str">
        <f>Бюд.р.!A310</f>
        <v>ВРЕМЕННОЕ ТРУДОУСТРОЙСТВО НЕСОВЕРШЕННОЛЕТНИХ В ВОЗРАСТЕ ОТ 14 ДО 18 ЛЕТ В СВОБОДНОЕ ОТ УЧЕБЫ ВРЕМЯ</v>
      </c>
      <c r="C82" s="2719">
        <v>968</v>
      </c>
      <c r="D82" s="2720" t="s">
        <v>1441</v>
      </c>
      <c r="E82" s="2719" t="str">
        <f>E83</f>
        <v>510 02 00</v>
      </c>
      <c r="F82" s="2721"/>
      <c r="G82" s="1953">
        <f>G83</f>
        <v>166.5</v>
      </c>
      <c r="H82" s="1953">
        <f t="shared" si="5"/>
        <v>174.82500000000002</v>
      </c>
      <c r="I82" s="2741">
        <f t="shared" si="5"/>
        <v>183.56625000000003</v>
      </c>
      <c r="J82" s="1895"/>
    </row>
    <row r="83" spans="1:10" ht="18" customHeight="1" x14ac:dyDescent="0.2">
      <c r="A83" s="1910" t="s">
        <v>111</v>
      </c>
      <c r="B83" s="1891" t="str">
        <f>Бюд.р.!A311</f>
        <v>Иные бюджетные ассигнования</v>
      </c>
      <c r="C83" s="1784">
        <v>968</v>
      </c>
      <c r="D83" s="2712" t="s">
        <v>1441</v>
      </c>
      <c r="E83" s="1784" t="str">
        <f>Бюд.р.!D311</f>
        <v>510 02 00</v>
      </c>
      <c r="F83" s="1878">
        <f>Бюд.р.!F311</f>
        <v>800</v>
      </c>
      <c r="G83" s="1956">
        <f>Бюд.р.!H311</f>
        <v>166.5</v>
      </c>
      <c r="H83" s="2814">
        <f>G83*1.05</f>
        <v>174.82500000000002</v>
      </c>
      <c r="I83" s="2814">
        <f>H83*1.05</f>
        <v>183.56625000000003</v>
      </c>
      <c r="J83" s="1895"/>
    </row>
    <row r="84" spans="1:10" ht="12.75" customHeight="1" thickBot="1" x14ac:dyDescent="0.25">
      <c r="A84" s="1915" t="s">
        <v>1233</v>
      </c>
      <c r="B84" s="1937" t="s">
        <v>1015</v>
      </c>
      <c r="C84" s="1784" t="s">
        <v>696</v>
      </c>
      <c r="D84" s="2712" t="s">
        <v>1025</v>
      </c>
      <c r="E84" s="1784"/>
      <c r="F84" s="1878"/>
      <c r="G84" s="1956">
        <f t="shared" ref="G84:I85" si="6">G85</f>
        <v>20</v>
      </c>
      <c r="H84" s="2782">
        <f t="shared" si="6"/>
        <v>21</v>
      </c>
      <c r="I84" s="2782">
        <f t="shared" si="6"/>
        <v>22.05</v>
      </c>
      <c r="J84" s="1896"/>
    </row>
    <row r="85" spans="1:10" ht="20.25" customHeight="1" thickBot="1" x14ac:dyDescent="0.25">
      <c r="A85" s="1908" t="s">
        <v>741</v>
      </c>
      <c r="B85" s="2723" t="str">
        <f>Бюд.р.!A321</f>
        <v>Ведомственная целевая программа по содействия развитию малого бизнеса на территории МО</v>
      </c>
      <c r="C85" s="1893">
        <v>968</v>
      </c>
      <c r="D85" s="2135" t="s">
        <v>1025</v>
      </c>
      <c r="E85" s="1893" t="str">
        <f>E86</f>
        <v>795 07 00</v>
      </c>
      <c r="F85" s="1949"/>
      <c r="G85" s="2714">
        <f>G86</f>
        <v>20</v>
      </c>
      <c r="H85" s="1958">
        <f t="shared" si="6"/>
        <v>21</v>
      </c>
      <c r="I85" s="1958">
        <f t="shared" si="6"/>
        <v>22.05</v>
      </c>
      <c r="J85" s="1896"/>
    </row>
    <row r="86" spans="1:10" x14ac:dyDescent="0.2">
      <c r="A86" s="1909" t="s">
        <v>425</v>
      </c>
      <c r="B86" s="1891" t="str">
        <f>Бюд.р.!A322</f>
        <v>Закупка товаров, работ и услуг  для государственных (муниципальных) нужд</v>
      </c>
      <c r="C86" s="1784">
        <v>968</v>
      </c>
      <c r="D86" s="2712">
        <v>412</v>
      </c>
      <c r="E86" s="1784" t="str">
        <f>Бюд.р.!D322</f>
        <v>795 07 00</v>
      </c>
      <c r="F86" s="1878">
        <f>Бюд.р.!F322</f>
        <v>200</v>
      </c>
      <c r="G86" s="1956">
        <f>Бюд.р.!H322</f>
        <v>20</v>
      </c>
      <c r="H86" s="2814">
        <f>G86*1.05</f>
        <v>21</v>
      </c>
      <c r="I86" s="2814">
        <f>H86*1.05</f>
        <v>22.05</v>
      </c>
    </row>
    <row r="87" spans="1:10" x14ac:dyDescent="0.2">
      <c r="A87" s="1918" t="s">
        <v>112</v>
      </c>
      <c r="B87" s="1935" t="s">
        <v>283</v>
      </c>
      <c r="C87" s="1886" t="s">
        <v>696</v>
      </c>
      <c r="D87" s="2711" t="s">
        <v>448</v>
      </c>
      <c r="E87" s="1886"/>
      <c r="F87" s="1887"/>
      <c r="G87" s="1957">
        <f>G88</f>
        <v>50322.508000000002</v>
      </c>
      <c r="H87" s="1957">
        <f>H88</f>
        <v>52838.633400000006</v>
      </c>
      <c r="I87" s="2742">
        <f>I88</f>
        <v>55480.565070000004</v>
      </c>
    </row>
    <row r="88" spans="1:10" ht="16.5" customHeight="1" x14ac:dyDescent="0.2">
      <c r="A88" s="1910" t="s">
        <v>113</v>
      </c>
      <c r="B88" s="2713" t="s">
        <v>449</v>
      </c>
      <c r="C88" s="1893" t="s">
        <v>696</v>
      </c>
      <c r="D88" s="2135" t="s">
        <v>450</v>
      </c>
      <c r="E88" s="1893"/>
      <c r="F88" s="1949"/>
      <c r="G88" s="2714">
        <f>G89+G91+G93+G95+G97+G99+G101+G103+G105+G107</f>
        <v>50322.508000000002</v>
      </c>
      <c r="H88" s="2714">
        <f>H89+H91+H93+H95+H97+H99+H101+H103+H105+H107</f>
        <v>52838.633400000006</v>
      </c>
      <c r="I88" s="1958">
        <f>I89+I91+I93+I95+I97+I99+I101+I103+I105+I107</f>
        <v>55480.565070000004</v>
      </c>
    </row>
    <row r="89" spans="1:10" ht="22.5" x14ac:dyDescent="0.2">
      <c r="A89" s="1910" t="s">
        <v>1068</v>
      </c>
      <c r="B89" s="2789" t="str">
        <f>Бюд.р.!A329</f>
        <v>ТЕКУЩИЙ РЕМОНТ ПРИДОМОВЫХ ТЕРРИТОРИЙ И ДВОРОВЫХ ТЕРРИТОРИЙ , ВКЛЮЧАЯ ПРОЕЗДЫ И ВЪЕЗДЫ,ПЕШЕХОДНЫЕ ДОРОЖКИ</v>
      </c>
      <c r="C89" s="2719" t="s">
        <v>696</v>
      </c>
      <c r="D89" s="2720" t="s">
        <v>450</v>
      </c>
      <c r="E89" s="2719" t="str">
        <f>E90</f>
        <v>600 01 01</v>
      </c>
      <c r="F89" s="2721"/>
      <c r="G89" s="1953">
        <f>G90</f>
        <v>32309.071999999996</v>
      </c>
      <c r="H89" s="1953">
        <f>H90</f>
        <v>33924.525600000001</v>
      </c>
      <c r="I89" s="2741">
        <f>I90</f>
        <v>35620.751880000003</v>
      </c>
    </row>
    <row r="90" spans="1:10" ht="12" customHeight="1" x14ac:dyDescent="0.2">
      <c r="A90" s="1911" t="s">
        <v>1069</v>
      </c>
      <c r="B90" s="1891" t="str">
        <f>Бюд.р.!A330</f>
        <v>Закупка товаров, работ и услуг  для государственных (муниципальных) нужд</v>
      </c>
      <c r="C90" s="1784" t="s">
        <v>696</v>
      </c>
      <c r="D90" s="2712" t="s">
        <v>450</v>
      </c>
      <c r="E90" s="1784" t="str">
        <f>Бюд.р.!D330</f>
        <v>600 01 01</v>
      </c>
      <c r="F90" s="1878">
        <f>Бюд.р.!F330</f>
        <v>200</v>
      </c>
      <c r="G90" s="1952">
        <f>Бюд.р.!H330</f>
        <v>32309.071999999996</v>
      </c>
      <c r="H90" s="2811">
        <f>G90*1.05</f>
        <v>33924.525600000001</v>
      </c>
      <c r="I90" s="2811">
        <f>H90*1.05</f>
        <v>35620.751880000003</v>
      </c>
    </row>
    <row r="91" spans="1:10" ht="27.75" customHeight="1" x14ac:dyDescent="0.2">
      <c r="A91" s="1910" t="s">
        <v>1070</v>
      </c>
      <c r="B91" s="2789" t="str">
        <f>Бюд.р.!A339</f>
        <v>ОРГАНИЗАЦИЯ ДОПОЛНИТЕЛЬНЫХ  ПАРКОВОЧНЫХ МЕСТ НА ДВОРОВЫХ ТЕРРИТОРИЯХ</v>
      </c>
      <c r="C91" s="2719" t="s">
        <v>696</v>
      </c>
      <c r="D91" s="2720" t="s">
        <v>450</v>
      </c>
      <c r="E91" s="2719" t="str">
        <f>E92</f>
        <v>600 01 02</v>
      </c>
      <c r="F91" s="2721"/>
      <c r="G91" s="1953">
        <f>G92</f>
        <v>468.53700000000003</v>
      </c>
      <c r="H91" s="1953">
        <f>H92</f>
        <v>491.96385000000004</v>
      </c>
      <c r="I91" s="2741">
        <f>I92</f>
        <v>516.56204250000008</v>
      </c>
    </row>
    <row r="92" spans="1:10" ht="12.75" customHeight="1" x14ac:dyDescent="0.2">
      <c r="A92" s="1911" t="s">
        <v>1071</v>
      </c>
      <c r="B92" s="1891" t="str">
        <f>Бюд.р.!A340</f>
        <v>Закупка товаров, работ и услуг  для государственных (муниципальных) нужд</v>
      </c>
      <c r="C92" s="1784" t="s">
        <v>696</v>
      </c>
      <c r="D92" s="2712" t="s">
        <v>450</v>
      </c>
      <c r="E92" s="1784" t="str">
        <f>Бюд.р.!D340</f>
        <v>600 01 02</v>
      </c>
      <c r="F92" s="1878">
        <f>Бюд.р.!F340</f>
        <v>200</v>
      </c>
      <c r="G92" s="1952">
        <f>Бюд.р.!H340</f>
        <v>468.53700000000003</v>
      </c>
      <c r="H92" s="2811">
        <f>G92*1.05</f>
        <v>491.96385000000004</v>
      </c>
      <c r="I92" s="2811">
        <f>H92*1.05</f>
        <v>516.56204250000008</v>
      </c>
    </row>
    <row r="93" spans="1:10" x14ac:dyDescent="0.2">
      <c r="A93" s="1910" t="s">
        <v>1166</v>
      </c>
      <c r="B93" s="2790" t="str">
        <f>Бюд.р.!A344</f>
        <v xml:space="preserve">УСТАНОВКА,СОДЕРЖАНИЕ И РЕМОНТ ОГРАЖДЕНИЙ ГАЗОНОВ </v>
      </c>
      <c r="C93" s="2719" t="s">
        <v>696</v>
      </c>
      <c r="D93" s="2720" t="s">
        <v>450</v>
      </c>
      <c r="E93" s="2719" t="str">
        <f>E94</f>
        <v>600 01 03</v>
      </c>
      <c r="F93" s="2721"/>
      <c r="G93" s="1953">
        <f>G94</f>
        <v>2324.3319999999999</v>
      </c>
      <c r="H93" s="1953">
        <f>H94</f>
        <v>2440.5486000000001</v>
      </c>
      <c r="I93" s="2741">
        <f>I94</f>
        <v>2562.5760300000002</v>
      </c>
    </row>
    <row r="94" spans="1:10" ht="14.25" customHeight="1" x14ac:dyDescent="0.2">
      <c r="A94" s="1911" t="s">
        <v>1167</v>
      </c>
      <c r="B94" s="1891" t="str">
        <f>Бюд.р.!A345</f>
        <v>Закупка товаров, работ и услуг  для государственных (муниципальных) нужд</v>
      </c>
      <c r="C94" s="1784" t="s">
        <v>696</v>
      </c>
      <c r="D94" s="2712" t="s">
        <v>450</v>
      </c>
      <c r="E94" s="1784" t="str">
        <f>Бюд.р.!D345</f>
        <v>600 01 03</v>
      </c>
      <c r="F94" s="1878">
        <f>Бюд.р.!F345</f>
        <v>200</v>
      </c>
      <c r="G94" s="1952">
        <f>Бюд.р.!H345</f>
        <v>2324.3319999999999</v>
      </c>
      <c r="H94" s="2811">
        <f>G94*1.05</f>
        <v>2440.5486000000001</v>
      </c>
      <c r="I94" s="2811">
        <f>H94*1.05</f>
        <v>2562.5760300000002</v>
      </c>
    </row>
    <row r="95" spans="1:10" ht="33.75" customHeight="1" x14ac:dyDescent="0.2">
      <c r="A95" s="1919" t="s">
        <v>1072</v>
      </c>
      <c r="B95" s="2790" t="str">
        <f>Бюд.р.!A355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5" s="2719" t="s">
        <v>696</v>
      </c>
      <c r="D95" s="2720" t="s">
        <v>450</v>
      </c>
      <c r="E95" s="2719" t="str">
        <f>E96</f>
        <v>600 01 04</v>
      </c>
      <c r="F95" s="2721"/>
      <c r="G95" s="1953">
        <f>G96</f>
        <v>1852.972</v>
      </c>
      <c r="H95" s="1953">
        <f>H96</f>
        <v>1945.6206</v>
      </c>
      <c r="I95" s="2741">
        <f>I96</f>
        <v>2042.9016300000001</v>
      </c>
    </row>
    <row r="96" spans="1:10" x14ac:dyDescent="0.2">
      <c r="A96" s="1910" t="s">
        <v>1073</v>
      </c>
      <c r="B96" s="1891" t="str">
        <f>Бюд.р.!A356</f>
        <v>Закупка товаров, работ и услуг  для государственных (муниципальных) нужд</v>
      </c>
      <c r="C96" s="1784" t="s">
        <v>696</v>
      </c>
      <c r="D96" s="2712" t="s">
        <v>450</v>
      </c>
      <c r="E96" s="1784" t="str">
        <f>Бюд.р.!D356</f>
        <v>600 01 04</v>
      </c>
      <c r="F96" s="1878">
        <f>Бюд.р.!F356</f>
        <v>200</v>
      </c>
      <c r="G96" s="1952">
        <f>Бюд.р.!H357</f>
        <v>1852.972</v>
      </c>
      <c r="H96" s="2811">
        <f>G96*1.05</f>
        <v>1945.6206</v>
      </c>
      <c r="I96" s="2811">
        <f>H96*1.05</f>
        <v>2042.9016300000001</v>
      </c>
    </row>
    <row r="97" spans="1:10" ht="27" customHeight="1" x14ac:dyDescent="0.2">
      <c r="A97" s="1920" t="s">
        <v>1074</v>
      </c>
      <c r="B97" s="2724" t="s">
        <v>1474</v>
      </c>
      <c r="C97" s="2719" t="s">
        <v>696</v>
      </c>
      <c r="D97" s="2720" t="s">
        <v>450</v>
      </c>
      <c r="E97" s="2719" t="str">
        <f>E98</f>
        <v>600 02 04</v>
      </c>
      <c r="F97" s="2725"/>
      <c r="G97" s="1953">
        <f>G98</f>
        <v>198.17000000000002</v>
      </c>
      <c r="H97" s="1953">
        <f>H98</f>
        <v>208.07850000000002</v>
      </c>
      <c r="I97" s="2741">
        <f>I98</f>
        <v>218.48242500000003</v>
      </c>
    </row>
    <row r="98" spans="1:10" ht="18" customHeight="1" x14ac:dyDescent="0.2">
      <c r="A98" s="1920"/>
      <c r="B98" s="1936" t="str">
        <f>Бюд.р.!A376</f>
        <v>Закупка товаров, работ и услуг  для государственных (муниципальных) нужд</v>
      </c>
      <c r="C98" s="1784">
        <v>968</v>
      </c>
      <c r="D98" s="2712" t="s">
        <v>450</v>
      </c>
      <c r="E98" s="1784" t="str">
        <f>Бюд.р.!D376</f>
        <v>600 02 04</v>
      </c>
      <c r="F98" s="1897">
        <f>Бюд.р.!F376</f>
        <v>200</v>
      </c>
      <c r="G98" s="1952">
        <f>Бюд.р.!H376</f>
        <v>198.17000000000002</v>
      </c>
      <c r="H98" s="2810">
        <f>G98*1.05</f>
        <v>208.07850000000002</v>
      </c>
      <c r="I98" s="2810">
        <f>H98*1.05</f>
        <v>218.48242500000003</v>
      </c>
    </row>
    <row r="99" spans="1:10" ht="22.5" x14ac:dyDescent="0.2">
      <c r="A99" s="1910" t="s">
        <v>1075</v>
      </c>
      <c r="B99" s="2790" t="str">
        <f>Бюд.р.!A384</f>
        <v>ОЗЕЛЕНЕНИЕ , СОДЕРЖАНИЕ И РЕМОНТ ТЕРРИТОРИЙ  ЗЕЛЕНЫХ НАСАЖДЕНИЙ ВНУТРИКВАРТАЛЬНОГО ОЗЕЛЕНЕНИЯ, КОМПЕНСАЦИОННОЕ ОЗЕЛЕНЕНИЕ</v>
      </c>
      <c r="C99" s="2719" t="s">
        <v>696</v>
      </c>
      <c r="D99" s="2720" t="s">
        <v>450</v>
      </c>
      <c r="E99" s="2719" t="str">
        <f>E100</f>
        <v>600 03 01</v>
      </c>
      <c r="F99" s="2721"/>
      <c r="G99" s="1953">
        <f>G100</f>
        <v>7445.0240000000013</v>
      </c>
      <c r="H99" s="1953">
        <f>H100</f>
        <v>7817.2752000000019</v>
      </c>
      <c r="I99" s="2741">
        <f>I100</f>
        <v>8208.138960000002</v>
      </c>
    </row>
    <row r="100" spans="1:10" x14ac:dyDescent="0.2">
      <c r="A100" s="1910"/>
      <c r="B100" s="2791" t="str">
        <f>Бюд.р.!A385</f>
        <v>Закупка товаров, работ и услуг  для государственных (муниципальных) нужд</v>
      </c>
      <c r="C100" s="1867">
        <v>968</v>
      </c>
      <c r="D100" s="2125" t="s">
        <v>450</v>
      </c>
      <c r="E100" s="1867" t="str">
        <f>Бюд.р.!D385</f>
        <v>600 03 01</v>
      </c>
      <c r="F100" s="1868">
        <f>Бюд.р.!F385</f>
        <v>200</v>
      </c>
      <c r="G100" s="1954">
        <f>Бюд.р.!H385</f>
        <v>7445.0240000000013</v>
      </c>
      <c r="H100" s="2122">
        <f>G100*1.05</f>
        <v>7817.2752000000019</v>
      </c>
      <c r="I100" s="2122">
        <f>H100*1.05</f>
        <v>8208.138960000002</v>
      </c>
    </row>
    <row r="101" spans="1:10" ht="41.25" customHeight="1" x14ac:dyDescent="0.2">
      <c r="A101" s="1920" t="s">
        <v>1076</v>
      </c>
      <c r="B101" s="2723" t="str">
        <f>Бюд.р.!A394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101" s="2719" t="s">
        <v>696</v>
      </c>
      <c r="D101" s="2720" t="s">
        <v>450</v>
      </c>
      <c r="E101" s="2719" t="str">
        <f>E102</f>
        <v>600 03 02</v>
      </c>
      <c r="F101" s="2721"/>
      <c r="G101" s="1953">
        <f>G102</f>
        <v>296.95</v>
      </c>
      <c r="H101" s="1953">
        <f>H102</f>
        <v>311.79750000000001</v>
      </c>
      <c r="I101" s="2741">
        <f>I102</f>
        <v>327.38737500000002</v>
      </c>
    </row>
    <row r="102" spans="1:10" ht="16.5" customHeight="1" x14ac:dyDescent="0.2">
      <c r="A102" s="1920"/>
      <c r="B102" s="1891" t="str">
        <f>Бюд.р.!A395</f>
        <v>Закупка товаров, работ и услуг  для государственных (муниципальных) нужд</v>
      </c>
      <c r="C102" s="1784">
        <v>968</v>
      </c>
      <c r="D102" s="2712" t="s">
        <v>450</v>
      </c>
      <c r="E102" s="1784" t="str">
        <f>Бюд.р.!D395</f>
        <v>600 03 02</v>
      </c>
      <c r="F102" s="1878">
        <f>Бюд.р.!F395</f>
        <v>200</v>
      </c>
      <c r="G102" s="1952">
        <f>Бюд.р.!H395</f>
        <v>296.95</v>
      </c>
      <c r="H102" s="2811">
        <f>G102*1.05</f>
        <v>311.79750000000001</v>
      </c>
      <c r="I102" s="2811">
        <f>H102*1.05</f>
        <v>327.38737500000002</v>
      </c>
    </row>
    <row r="103" spans="1:10" ht="22.5" x14ac:dyDescent="0.2">
      <c r="A103" s="1921" t="s">
        <v>1077</v>
      </c>
      <c r="B103" s="2789" t="str">
        <f>Бюд.р.!A406</f>
        <v xml:space="preserve">ОРГАНИЗАЦИЯ УЧЕТА ЗЕЛЕНЫХ НАСАЖДЕНИЙ ВНУТРИКВАРТАЛЬНОГО ОЗЕЛЕНЕНИЯ </v>
      </c>
      <c r="C103" s="2719" t="s">
        <v>696</v>
      </c>
      <c r="D103" s="2720" t="s">
        <v>450</v>
      </c>
      <c r="E103" s="2719" t="str">
        <f>E104</f>
        <v>600 03 05</v>
      </c>
      <c r="F103" s="2721"/>
      <c r="G103" s="1953">
        <f>G104</f>
        <v>150</v>
      </c>
      <c r="H103" s="1953">
        <f>H104</f>
        <v>157.5</v>
      </c>
      <c r="I103" s="2741">
        <f>I104</f>
        <v>165.375</v>
      </c>
    </row>
    <row r="104" spans="1:10" ht="16.5" customHeight="1" x14ac:dyDescent="0.2">
      <c r="A104" s="1921"/>
      <c r="B104" s="2792" t="str">
        <f>Бюд.р.!A407</f>
        <v>Закупка товаров, работ и услуг  для государственных (муниципальных) нужд</v>
      </c>
      <c r="C104" s="1784">
        <v>968</v>
      </c>
      <c r="D104" s="2712" t="s">
        <v>450</v>
      </c>
      <c r="E104" s="1784" t="str">
        <f>Бюд.р.!D407</f>
        <v>600 03 05</v>
      </c>
      <c r="F104" s="1878">
        <f>Бюд.р.!F407</f>
        <v>200</v>
      </c>
      <c r="G104" s="1952">
        <f>Бюд.р.!H407</f>
        <v>150</v>
      </c>
      <c r="H104" s="2810">
        <f>G104*1.05</f>
        <v>157.5</v>
      </c>
      <c r="I104" s="2810">
        <f>H104*1.05</f>
        <v>165.375</v>
      </c>
    </row>
    <row r="105" spans="1:10" ht="28.5" customHeight="1" x14ac:dyDescent="0.2">
      <c r="A105" s="1922" t="s">
        <v>1078</v>
      </c>
      <c r="B105" s="2723" t="str">
        <f>Бюд.р.!A412</f>
        <v>СОЗДАНИЕ ЗОН ОТДЫХА, В ТОМ ЧИСЛЕ ОБУСТРОЙСТВО, СОДЕРЖАНИЕ И УБОРКА ТЕРРИТОРИЙ ДЕТСКИХ ПЛОЩАДОК</v>
      </c>
      <c r="C105" s="2719" t="s">
        <v>696</v>
      </c>
      <c r="D105" s="2720" t="s">
        <v>450</v>
      </c>
      <c r="E105" s="2719" t="str">
        <f>E106</f>
        <v>600 04 01</v>
      </c>
      <c r="F105" s="2721"/>
      <c r="G105" s="1953">
        <f>G106</f>
        <v>4133.3819999999996</v>
      </c>
      <c r="H105" s="1953">
        <f>H106</f>
        <v>4340.0510999999997</v>
      </c>
      <c r="I105" s="2741">
        <f>I106</f>
        <v>4557.0536549999997</v>
      </c>
    </row>
    <row r="106" spans="1:10" ht="18" customHeight="1" x14ac:dyDescent="0.2">
      <c r="A106" s="1922"/>
      <c r="B106" s="1891" t="str">
        <f>Бюд.р.!A413</f>
        <v>Закупка товаров, работ и услуг  для государственных (муниципальных) нужд</v>
      </c>
      <c r="C106" s="1784">
        <v>968</v>
      </c>
      <c r="D106" s="2712" t="s">
        <v>450</v>
      </c>
      <c r="E106" s="1784" t="str">
        <f>Бюд.р.!D413</f>
        <v>600 04 01</v>
      </c>
      <c r="F106" s="1878">
        <f>Бюд.р.!F413</f>
        <v>200</v>
      </c>
      <c r="G106" s="1952">
        <f>Бюд.р.!H413</f>
        <v>4133.3819999999996</v>
      </c>
      <c r="H106" s="2811">
        <f>G106*1.05</f>
        <v>4340.0510999999997</v>
      </c>
      <c r="I106" s="2811">
        <f>H106*1.05</f>
        <v>4557.0536549999997</v>
      </c>
    </row>
    <row r="107" spans="1:10" ht="18" customHeight="1" x14ac:dyDescent="0.2">
      <c r="A107" s="1921" t="s">
        <v>1080</v>
      </c>
      <c r="B107" s="2723" t="str">
        <f>Бюд.р.!A420</f>
        <v>ОБУСТРОЙСТВО, СОДЕРЖАНИЕ И УБОРКА ТЕРРИТОРИЙ СПОРТИВНЫХ ПЛОЩАДОК</v>
      </c>
      <c r="C107" s="2719" t="s">
        <v>696</v>
      </c>
      <c r="D107" s="2720" t="s">
        <v>450</v>
      </c>
      <c r="E107" s="2719" t="str">
        <f>E108</f>
        <v>600 04 02</v>
      </c>
      <c r="F107" s="2721"/>
      <c r="G107" s="1953">
        <f>G108</f>
        <v>1144.069</v>
      </c>
      <c r="H107" s="1953">
        <f>H108</f>
        <v>1201.2724499999999</v>
      </c>
      <c r="I107" s="2741">
        <f>I108</f>
        <v>1261.3360725</v>
      </c>
    </row>
    <row r="108" spans="1:10" ht="18.75" customHeight="1" x14ac:dyDescent="0.2">
      <c r="A108" s="1920" t="s">
        <v>1090</v>
      </c>
      <c r="B108" s="1891" t="str">
        <f>Бюд.р.!A421</f>
        <v>Закупка товаров, работ и услуг  для государственных (муниципальных) нужд</v>
      </c>
      <c r="C108" s="1784" t="s">
        <v>696</v>
      </c>
      <c r="D108" s="2712" t="s">
        <v>450</v>
      </c>
      <c r="E108" s="1784" t="str">
        <f>Бюд.р.!D421</f>
        <v>600 04 02</v>
      </c>
      <c r="F108" s="1878">
        <f>Бюд.р.!F421</f>
        <v>200</v>
      </c>
      <c r="G108" s="1952">
        <f>Бюд.р.!H421</f>
        <v>1144.069</v>
      </c>
      <c r="H108" s="2811">
        <f>G108*1.05</f>
        <v>1201.2724499999999</v>
      </c>
      <c r="I108" s="2811">
        <f>H108*1.05</f>
        <v>1261.3360725</v>
      </c>
    </row>
    <row r="109" spans="1:10" hidden="1" x14ac:dyDescent="0.2">
      <c r="A109" s="1921" t="s">
        <v>11</v>
      </c>
      <c r="B109" s="1935" t="s">
        <v>817</v>
      </c>
      <c r="C109" s="1886" t="s">
        <v>696</v>
      </c>
      <c r="D109" s="2711" t="s">
        <v>818</v>
      </c>
      <c r="E109" s="1934"/>
      <c r="F109" s="1890"/>
      <c r="G109" s="1957">
        <f t="shared" ref="G109:I111" si="7">G110</f>
        <v>0</v>
      </c>
      <c r="H109" s="2742">
        <f t="shared" si="7"/>
        <v>0</v>
      </c>
      <c r="I109" s="2742">
        <f t="shared" si="7"/>
        <v>0</v>
      </c>
    </row>
    <row r="110" spans="1:10" ht="18" hidden="1" customHeight="1" thickBot="1" x14ac:dyDescent="0.25">
      <c r="A110" s="1925" t="s">
        <v>12</v>
      </c>
      <c r="B110" s="1936" t="s">
        <v>820</v>
      </c>
      <c r="C110" s="1784" t="s">
        <v>696</v>
      </c>
      <c r="D110" s="2712" t="s">
        <v>819</v>
      </c>
      <c r="E110" s="1784"/>
      <c r="F110" s="1878"/>
      <c r="G110" s="1956">
        <f t="shared" si="7"/>
        <v>0</v>
      </c>
      <c r="H110" s="2782">
        <f t="shared" si="7"/>
        <v>0</v>
      </c>
      <c r="I110" s="2782">
        <f t="shared" si="7"/>
        <v>0</v>
      </c>
      <c r="J110" s="1896"/>
    </row>
    <row r="111" spans="1:10" ht="24.75" hidden="1" thickBot="1" x14ac:dyDescent="0.25">
      <c r="A111" s="1923" t="s">
        <v>743</v>
      </c>
      <c r="B111" s="1935" t="s">
        <v>821</v>
      </c>
      <c r="C111" s="1886" t="s">
        <v>696</v>
      </c>
      <c r="D111" s="2711" t="s">
        <v>819</v>
      </c>
      <c r="E111" s="1886" t="s">
        <v>822</v>
      </c>
      <c r="F111" s="1887"/>
      <c r="G111" s="1957">
        <f t="shared" si="7"/>
        <v>0</v>
      </c>
      <c r="H111" s="2742">
        <f t="shared" si="7"/>
        <v>0</v>
      </c>
      <c r="I111" s="2742">
        <f t="shared" si="7"/>
        <v>0</v>
      </c>
    </row>
    <row r="112" spans="1:10" ht="24" hidden="1" customHeight="1" x14ac:dyDescent="0.2">
      <c r="A112" s="1924" t="s">
        <v>114</v>
      </c>
      <c r="B112" s="1891" t="str">
        <f>Бюд.р.!A437</f>
        <v>Прочая закупка товаров, работ и услуг для муниципальных нужд</v>
      </c>
      <c r="C112" s="1934" t="s">
        <v>696</v>
      </c>
      <c r="D112" s="2793" t="s">
        <v>819</v>
      </c>
      <c r="E112" s="1934" t="s">
        <v>822</v>
      </c>
      <c r="F112" s="1890">
        <f>Бюд.р.!F437</f>
        <v>244</v>
      </c>
      <c r="G112" s="1956">
        <f>Бюд.р.!H437</f>
        <v>0</v>
      </c>
      <c r="H112" s="2814">
        <f>G112*1.05</f>
        <v>0</v>
      </c>
      <c r="I112" s="2814">
        <f>H112*1.05</f>
        <v>0</v>
      </c>
    </row>
    <row r="113" spans="1:9" x14ac:dyDescent="0.2">
      <c r="A113" s="1921" t="s">
        <v>115</v>
      </c>
      <c r="B113" s="1935" t="s">
        <v>290</v>
      </c>
      <c r="C113" s="1886" t="s">
        <v>696</v>
      </c>
      <c r="D113" s="2711" t="s">
        <v>412</v>
      </c>
      <c r="E113" s="1934"/>
      <c r="F113" s="1948"/>
      <c r="G113" s="1957">
        <f>G114+G119+G130</f>
        <v>4271.1000000000004</v>
      </c>
      <c r="H113" s="1957">
        <f>H114+H119+H130</f>
        <v>4484.6549999999997</v>
      </c>
      <c r="I113" s="1957">
        <f>I114+I119+I130</f>
        <v>4708.8877499999999</v>
      </c>
    </row>
    <row r="114" spans="1:9" ht="13.5" customHeight="1" x14ac:dyDescent="0.2">
      <c r="A114" s="2726"/>
      <c r="B114" s="2727" t="str">
        <f>Рас.Пр.3!B109</f>
        <v xml:space="preserve">Профессиональная подготовка, переподготовка и повышение квалификации
</v>
      </c>
      <c r="C114" s="1886">
        <v>968</v>
      </c>
      <c r="D114" s="2711" t="s">
        <v>1192</v>
      </c>
      <c r="E114" s="1934"/>
      <c r="F114" s="1948"/>
      <c r="G114" s="1957">
        <f>G115+G117</f>
        <v>255</v>
      </c>
      <c r="H114" s="1957">
        <f>H115+H117</f>
        <v>267.75</v>
      </c>
      <c r="I114" s="2742">
        <f>I115+I117</f>
        <v>281.13750000000005</v>
      </c>
    </row>
    <row r="115" spans="1:9" ht="39.75" customHeight="1" x14ac:dyDescent="0.2">
      <c r="A115" s="2726"/>
      <c r="B115" s="1935" t="str">
        <f>Бюд.р.!A444</f>
        <v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5" s="1886">
        <v>968</v>
      </c>
      <c r="D115" s="2711" t="s">
        <v>1192</v>
      </c>
      <c r="E115" s="1934" t="str">
        <f>E116</f>
        <v>428 01 01</v>
      </c>
      <c r="F115" s="1948"/>
      <c r="G115" s="1957">
        <f>G116</f>
        <v>17</v>
      </c>
      <c r="H115" s="1957">
        <f>H116</f>
        <v>17.850000000000001</v>
      </c>
      <c r="I115" s="2742">
        <f>I116</f>
        <v>18.742500000000003</v>
      </c>
    </row>
    <row r="116" spans="1:9" ht="18" customHeight="1" x14ac:dyDescent="0.2">
      <c r="A116" s="1926" t="s">
        <v>116</v>
      </c>
      <c r="B116" s="1936" t="str">
        <f>Бюд.р.!A445</f>
        <v>Закупка товаров, работ и услуг  для государственных (муниципальных) нужд</v>
      </c>
      <c r="C116" s="1784" t="s">
        <v>696</v>
      </c>
      <c r="D116" s="2712" t="s">
        <v>1192</v>
      </c>
      <c r="E116" s="1784" t="str">
        <f>Бюд.р.!D445</f>
        <v>428 01 01</v>
      </c>
      <c r="F116" s="1897">
        <f>Бюд.р.!F445</f>
        <v>200</v>
      </c>
      <c r="G116" s="1956">
        <f>Бюд.р.!H445</f>
        <v>17</v>
      </c>
      <c r="H116" s="2782">
        <f>G116*1.05</f>
        <v>17.850000000000001</v>
      </c>
      <c r="I116" s="2782">
        <f>H116*1.05</f>
        <v>18.742500000000003</v>
      </c>
    </row>
    <row r="117" spans="1:9" ht="39.75" customHeight="1" x14ac:dyDescent="0.2">
      <c r="A117" s="1926"/>
      <c r="B117" s="1935" t="str">
        <f>Бюд.р.!A449</f>
        <v xml:space="preserve">Расходы на организацию профессионального образования и дополнительного профессионального образования для  муниципальных служащих  </v>
      </c>
      <c r="C117" s="1886">
        <v>968</v>
      </c>
      <c r="D117" s="2711" t="s">
        <v>1192</v>
      </c>
      <c r="E117" s="1934" t="str">
        <f>E118</f>
        <v>428 01 02</v>
      </c>
      <c r="F117" s="1948"/>
      <c r="G117" s="1957">
        <f>G118</f>
        <v>238</v>
      </c>
      <c r="H117" s="1957">
        <f>H118</f>
        <v>249.9</v>
      </c>
      <c r="I117" s="2742">
        <f>I118</f>
        <v>262.39500000000004</v>
      </c>
    </row>
    <row r="118" spans="1:9" ht="18" customHeight="1" x14ac:dyDescent="0.2">
      <c r="A118" s="1926"/>
      <c r="B118" s="1936" t="str">
        <f>Бюд.р.!A450</f>
        <v>Закупка товаров, работ и услуг  для государственных (муниципальных) нужд</v>
      </c>
      <c r="C118" s="1784" t="s">
        <v>696</v>
      </c>
      <c r="D118" s="2712" t="s">
        <v>1192</v>
      </c>
      <c r="E118" s="1784" t="str">
        <f>Бюд.р.!D450</f>
        <v>428 01 02</v>
      </c>
      <c r="F118" s="1897">
        <f>Бюд.р.!G447</f>
        <v>200</v>
      </c>
      <c r="G118" s="1956">
        <f>Бюд.р.!H450</f>
        <v>238</v>
      </c>
      <c r="H118" s="2782">
        <f>G118*1.05</f>
        <v>249.9</v>
      </c>
      <c r="I118" s="2782">
        <f>H118*1.05</f>
        <v>262.39500000000004</v>
      </c>
    </row>
    <row r="119" spans="1:9" ht="18" customHeight="1" x14ac:dyDescent="0.2">
      <c r="A119" s="1920" t="s">
        <v>7</v>
      </c>
      <c r="B119" s="2728" t="s">
        <v>411</v>
      </c>
      <c r="C119" s="1893" t="s">
        <v>696</v>
      </c>
      <c r="D119" s="2135" t="s">
        <v>413</v>
      </c>
      <c r="E119" s="1893"/>
      <c r="F119" s="2212"/>
      <c r="G119" s="2714">
        <f>G120+G122+G124+G126+G128</f>
        <v>3879.6</v>
      </c>
      <c r="H119" s="2714">
        <f>H120+H122+H124+H126+H128</f>
        <v>4073.5800000000004</v>
      </c>
      <c r="I119" s="2714">
        <f>I120+I122+I124+I126+I128</f>
        <v>4277.259</v>
      </c>
    </row>
    <row r="120" spans="1:9" ht="24" customHeight="1" x14ac:dyDescent="0.2">
      <c r="A120" s="1920"/>
      <c r="B120" s="2715" t="str">
        <f>Бюд.р.!A455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C120" s="1893" t="s">
        <v>696</v>
      </c>
      <c r="D120" s="2135" t="s">
        <v>413</v>
      </c>
      <c r="E120" s="1893" t="str">
        <f>Бюд.р.!D455</f>
        <v>795 01 00</v>
      </c>
      <c r="F120" s="1949"/>
      <c r="G120" s="2714">
        <f>G121</f>
        <v>877.5</v>
      </c>
      <c r="H120" s="1958">
        <f>H121</f>
        <v>921.375</v>
      </c>
      <c r="I120" s="1958">
        <f>I121</f>
        <v>967.44375000000002</v>
      </c>
    </row>
    <row r="121" spans="1:9" ht="18" customHeight="1" x14ac:dyDescent="0.2">
      <c r="A121" s="1920"/>
      <c r="B121" s="1891" t="str">
        <f>Бюд.р.!A456</f>
        <v>Закупка товаров, работ и услуг  для государственных (муниципальных) нужд</v>
      </c>
      <c r="C121" s="1784" t="s">
        <v>696</v>
      </c>
      <c r="D121" s="2712" t="s">
        <v>413</v>
      </c>
      <c r="E121" s="1784" t="str">
        <f>Бюд.р.!D456</f>
        <v>795 01 00</v>
      </c>
      <c r="F121" s="1878">
        <f>Бюд.р.!F456</f>
        <v>200</v>
      </c>
      <c r="G121" s="1956">
        <f>Бюд.р.!H456</f>
        <v>877.5</v>
      </c>
      <c r="H121" s="2814">
        <f>G121*1.05</f>
        <v>921.375</v>
      </c>
      <c r="I121" s="2814">
        <f>H121*1.05</f>
        <v>967.44375000000002</v>
      </c>
    </row>
    <row r="122" spans="1:9" ht="36" customHeight="1" x14ac:dyDescent="0.2">
      <c r="A122" s="1920"/>
      <c r="B122" s="2715" t="str">
        <f>Бюд.р.!A461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2" s="1893" t="s">
        <v>696</v>
      </c>
      <c r="D122" s="2135" t="s">
        <v>413</v>
      </c>
      <c r="E122" s="1893" t="str">
        <f>E123</f>
        <v>795 04 00</v>
      </c>
      <c r="F122" s="1949"/>
      <c r="G122" s="2714">
        <f>G123</f>
        <v>185</v>
      </c>
      <c r="H122" s="1958">
        <f>H123</f>
        <v>194.25</v>
      </c>
      <c r="I122" s="1958">
        <f>I123</f>
        <v>203.96250000000001</v>
      </c>
    </row>
    <row r="123" spans="1:9" ht="18" customHeight="1" x14ac:dyDescent="0.2">
      <c r="A123" s="1920"/>
      <c r="B123" s="1891" t="str">
        <f>Бюд.р.!A462</f>
        <v>Закупка товаров, работ и услуг  для государственных (муниципальных) нужд</v>
      </c>
      <c r="C123" s="1784" t="s">
        <v>696</v>
      </c>
      <c r="D123" s="2712" t="s">
        <v>413</v>
      </c>
      <c r="E123" s="1784" t="str">
        <f>Бюд.р.!D463</f>
        <v>795 04 00</v>
      </c>
      <c r="F123" s="1878">
        <f>Бюд.р.!F462</f>
        <v>200</v>
      </c>
      <c r="G123" s="1956">
        <f>Бюд.р.!H465</f>
        <v>185</v>
      </c>
      <c r="H123" s="2814">
        <f>G123*1.05</f>
        <v>194.25</v>
      </c>
      <c r="I123" s="2814">
        <f>H123*1.05</f>
        <v>203.96250000000001</v>
      </c>
    </row>
    <row r="124" spans="1:9" ht="34.5" customHeight="1" x14ac:dyDescent="0.2">
      <c r="A124" s="1920"/>
      <c r="B124" s="2715" t="str">
        <f>Бюд.р.!A483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24" s="1893" t="s">
        <v>696</v>
      </c>
      <c r="D124" s="2135" t="s">
        <v>413</v>
      </c>
      <c r="E124" s="1893" t="str">
        <f>Бюд.р.!D483</f>
        <v>795 05 00</v>
      </c>
      <c r="F124" s="1949"/>
      <c r="G124" s="2714">
        <f>G125</f>
        <v>100</v>
      </c>
      <c r="H124" s="1958">
        <f>H125</f>
        <v>105</v>
      </c>
      <c r="I124" s="1958">
        <f>I125</f>
        <v>110.25</v>
      </c>
    </row>
    <row r="125" spans="1:9" ht="18" customHeight="1" x14ac:dyDescent="0.2">
      <c r="A125" s="1920"/>
      <c r="B125" s="1891" t="str">
        <f>Бюд.р.!A484</f>
        <v>Закупка товаров, работ и услуг  для государственных (муниципальных) нужд</v>
      </c>
      <c r="C125" s="1784" t="s">
        <v>696</v>
      </c>
      <c r="D125" s="2712" t="s">
        <v>413</v>
      </c>
      <c r="E125" s="1784" t="str">
        <f>Бюд.р.!D484</f>
        <v>795 05 00</v>
      </c>
      <c r="F125" s="1878">
        <f>Бюд.р.!F484</f>
        <v>200</v>
      </c>
      <c r="G125" s="1956">
        <f>Бюд.р.!H484</f>
        <v>100</v>
      </c>
      <c r="H125" s="2814">
        <f>G125*1.05</f>
        <v>105</v>
      </c>
      <c r="I125" s="2814">
        <f>H125*1.05</f>
        <v>110.25</v>
      </c>
    </row>
    <row r="126" spans="1:9" ht="27.75" customHeight="1" x14ac:dyDescent="0.2">
      <c r="A126" s="1921" t="s">
        <v>1102</v>
      </c>
      <c r="B126" s="2715" t="str">
        <f>Бюд.р.!A466</f>
        <v>Ведомственная целевая программа по военно-патриотическому воспитанию граждан муниципального образования</v>
      </c>
      <c r="C126" s="1893" t="s">
        <v>696</v>
      </c>
      <c r="D126" s="2135" t="s">
        <v>413</v>
      </c>
      <c r="E126" s="1893" t="str">
        <f>E127</f>
        <v>795 08 00</v>
      </c>
      <c r="F126" s="1949"/>
      <c r="G126" s="2714">
        <f>G127</f>
        <v>1106.2</v>
      </c>
      <c r="H126" s="1958">
        <f>H127</f>
        <v>1161.51</v>
      </c>
      <c r="I126" s="1958">
        <f>I127</f>
        <v>1219.5855000000001</v>
      </c>
    </row>
    <row r="127" spans="1:9" ht="18" customHeight="1" x14ac:dyDescent="0.2">
      <c r="A127" s="1920" t="s">
        <v>1103</v>
      </c>
      <c r="B127" s="1891" t="str">
        <f>Бюд.р.!A467</f>
        <v>Закупка товаров, работ и услуг  для государственных (муниципальных) нужд</v>
      </c>
      <c r="C127" s="1784" t="s">
        <v>696</v>
      </c>
      <c r="D127" s="2712" t="s">
        <v>413</v>
      </c>
      <c r="E127" s="1784" t="str">
        <f>Бюд.р.!D467</f>
        <v>795 08 00</v>
      </c>
      <c r="F127" s="1878">
        <f>Бюд.р.!G469</f>
        <v>200</v>
      </c>
      <c r="G127" s="1956">
        <f>Бюд.р.!H469</f>
        <v>1106.2</v>
      </c>
      <c r="H127" s="2814">
        <f>G127*1.05</f>
        <v>1161.51</v>
      </c>
      <c r="I127" s="2814">
        <f>H127*1.05</f>
        <v>1219.5855000000001</v>
      </c>
    </row>
    <row r="128" spans="1:9" ht="27" customHeight="1" x14ac:dyDescent="0.2">
      <c r="A128" s="1921" t="s">
        <v>586</v>
      </c>
      <c r="B128" s="1943" t="str">
        <f>Бюд.р.!A474</f>
        <v xml:space="preserve">Ведомственная целевая программа по организации и проведению досуговых мероприятий для жителей МО МО Озеро Долгое </v>
      </c>
      <c r="C128" s="1893" t="s">
        <v>696</v>
      </c>
      <c r="D128" s="2135" t="s">
        <v>413</v>
      </c>
      <c r="E128" s="1893" t="str">
        <f>E129</f>
        <v>795 06 00</v>
      </c>
      <c r="F128" s="1949"/>
      <c r="G128" s="2714">
        <f>G129</f>
        <v>1610.9</v>
      </c>
      <c r="H128" s="2714">
        <f>H129</f>
        <v>1691.4450000000002</v>
      </c>
      <c r="I128" s="1958">
        <f>I129</f>
        <v>1776.0172500000003</v>
      </c>
    </row>
    <row r="129" spans="1:9" ht="17.25" customHeight="1" x14ac:dyDescent="0.2">
      <c r="A129" s="2726"/>
      <c r="B129" s="1891" t="str">
        <f>Бюд.р.!A475</f>
        <v>Закупка товаров, работ и услуг  для государственных (муниципальных) нужд</v>
      </c>
      <c r="C129" s="1784">
        <v>968</v>
      </c>
      <c r="D129" s="2712" t="s">
        <v>413</v>
      </c>
      <c r="E129" s="1784" t="str">
        <f>Бюд.р.!D475</f>
        <v>795 06 00</v>
      </c>
      <c r="F129" s="1878">
        <f>Бюд.р.!F475</f>
        <v>200</v>
      </c>
      <c r="G129" s="1956">
        <f>Бюд.р.!H475</f>
        <v>1610.9</v>
      </c>
      <c r="H129" s="2814">
        <f>G129*1.05</f>
        <v>1691.4450000000002</v>
      </c>
      <c r="I129" s="2814">
        <f>H129*1.05</f>
        <v>1776.0172500000003</v>
      </c>
    </row>
    <row r="130" spans="1:9" ht="13.5" customHeight="1" x14ac:dyDescent="0.2">
      <c r="A130" s="1925" t="s">
        <v>587</v>
      </c>
      <c r="B130" s="2729" t="s">
        <v>14</v>
      </c>
      <c r="C130" s="1893" t="s">
        <v>696</v>
      </c>
      <c r="D130" s="2135" t="s">
        <v>18</v>
      </c>
      <c r="E130" s="1893"/>
      <c r="F130" s="2212"/>
      <c r="G130" s="2714">
        <f>G131+G133</f>
        <v>136.5</v>
      </c>
      <c r="H130" s="2714">
        <f>H131+H133</f>
        <v>143.32499999999999</v>
      </c>
      <c r="I130" s="1958">
        <f>I131+I133</f>
        <v>150.49125000000001</v>
      </c>
    </row>
    <row r="131" spans="1:9" ht="24" x14ac:dyDescent="0.2">
      <c r="A131" s="1921" t="s">
        <v>1036</v>
      </c>
      <c r="B131" s="1941" t="s">
        <v>1144</v>
      </c>
      <c r="C131" s="1886" t="s">
        <v>696</v>
      </c>
      <c r="D131" s="2711" t="s">
        <v>18</v>
      </c>
      <c r="E131" s="1886" t="str">
        <f>E132</f>
        <v>795 01 00</v>
      </c>
      <c r="F131" s="1887"/>
      <c r="G131" s="1957">
        <f>G132</f>
        <v>30</v>
      </c>
      <c r="H131" s="1957">
        <f>H132</f>
        <v>31.5</v>
      </c>
      <c r="I131" s="2742">
        <f>I132</f>
        <v>33.075000000000003</v>
      </c>
    </row>
    <row r="132" spans="1:9" ht="13.5" customHeight="1" thickBot="1" x14ac:dyDescent="0.25">
      <c r="A132" s="1925" t="s">
        <v>1037</v>
      </c>
      <c r="B132" s="1891" t="str">
        <f>Бюд.р.!A492</f>
        <v>Закупка товаров, работ и услуг  для государственных (муниципальных) нужд</v>
      </c>
      <c r="C132" s="1934" t="s">
        <v>696</v>
      </c>
      <c r="D132" s="2793" t="s">
        <v>18</v>
      </c>
      <c r="E132" s="1934" t="str">
        <f>Бюд.р.!D492</f>
        <v>795 01 00</v>
      </c>
      <c r="F132" s="1890">
        <f>Бюд.р.!F492</f>
        <v>200</v>
      </c>
      <c r="G132" s="1956">
        <f>Бюд.р.!H492</f>
        <v>30</v>
      </c>
      <c r="H132" s="2814">
        <f>G132*1.05</f>
        <v>31.5</v>
      </c>
      <c r="I132" s="2814">
        <f>H132*1.05</f>
        <v>33.075000000000003</v>
      </c>
    </row>
    <row r="133" spans="1:9" ht="48.75" thickBot="1" x14ac:dyDescent="0.25">
      <c r="A133" s="1923" t="s">
        <v>520</v>
      </c>
      <c r="B133" s="1941" t="str">
        <f>Бюд.р.!A500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33" s="1886" t="s">
        <v>696</v>
      </c>
      <c r="D133" s="2711" t="s">
        <v>18</v>
      </c>
      <c r="E133" s="1886" t="str">
        <f>E134</f>
        <v>795 04 00</v>
      </c>
      <c r="F133" s="1887"/>
      <c r="G133" s="1957">
        <f>G134</f>
        <v>106.5</v>
      </c>
      <c r="H133" s="1957">
        <f>H134</f>
        <v>111.825</v>
      </c>
      <c r="I133" s="2742">
        <f>I134</f>
        <v>117.41625000000001</v>
      </c>
    </row>
    <row r="134" spans="1:9" x14ac:dyDescent="0.2">
      <c r="A134" s="1924" t="s">
        <v>584</v>
      </c>
      <c r="B134" s="1891" t="str">
        <f>Бюд.р.!A501</f>
        <v>Закупка товаров, работ и услуг  для государственных (муниципальных) нужд</v>
      </c>
      <c r="C134" s="1934" t="s">
        <v>696</v>
      </c>
      <c r="D134" s="2793" t="s">
        <v>18</v>
      </c>
      <c r="E134" s="1934" t="s">
        <v>163</v>
      </c>
      <c r="F134" s="1890">
        <f>Бюд.р.!F501</f>
        <v>200</v>
      </c>
      <c r="G134" s="1956">
        <f>Бюд.р.!H501</f>
        <v>106.5</v>
      </c>
      <c r="H134" s="2814">
        <f>G134*1.05</f>
        <v>111.825</v>
      </c>
      <c r="I134" s="2814">
        <f>H134*1.05</f>
        <v>117.41625000000001</v>
      </c>
    </row>
    <row r="135" spans="1:9" ht="16.5" customHeight="1" x14ac:dyDescent="0.2">
      <c r="A135" s="1921" t="s">
        <v>588</v>
      </c>
      <c r="B135" s="1935" t="s">
        <v>1039</v>
      </c>
      <c r="C135" s="1886" t="s">
        <v>696</v>
      </c>
      <c r="D135" s="2711" t="s">
        <v>416</v>
      </c>
      <c r="E135" s="1884"/>
      <c r="F135" s="1885"/>
      <c r="G135" s="1957">
        <f>G137+G139</f>
        <v>11628.808999999999</v>
      </c>
      <c r="H135" s="1957">
        <f>H137+H139</f>
        <v>12210.249449999999</v>
      </c>
      <c r="I135" s="2742">
        <f>I137+I139</f>
        <v>12820.7619225</v>
      </c>
    </row>
    <row r="136" spans="1:9" ht="15.75" customHeight="1" x14ac:dyDescent="0.2">
      <c r="A136" s="1925" t="s">
        <v>589</v>
      </c>
      <c r="B136" s="2713" t="s">
        <v>772</v>
      </c>
      <c r="C136" s="1893" t="s">
        <v>696</v>
      </c>
      <c r="D136" s="2135" t="s">
        <v>417</v>
      </c>
      <c r="E136" s="2136"/>
      <c r="F136" s="2213"/>
      <c r="G136" s="2714">
        <f t="shared" ref="G136:I137" si="8">G137</f>
        <v>10081.829</v>
      </c>
      <c r="H136" s="2714">
        <f t="shared" si="8"/>
        <v>10585.92045</v>
      </c>
      <c r="I136" s="1958">
        <f t="shared" si="8"/>
        <v>11115.2164725</v>
      </c>
    </row>
    <row r="137" spans="1:9" ht="48.75" customHeight="1" x14ac:dyDescent="0.2">
      <c r="A137" s="1921" t="s">
        <v>1093</v>
      </c>
      <c r="B137" s="2794" t="str">
        <f>Бюд.р.!A508</f>
        <v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37" s="1893" t="s">
        <v>696</v>
      </c>
      <c r="D137" s="2795" t="s">
        <v>417</v>
      </c>
      <c r="E137" s="2136" t="str">
        <f>E138</f>
        <v>795 09 00</v>
      </c>
      <c r="F137" s="2213"/>
      <c r="G137" s="2714">
        <f t="shared" si="8"/>
        <v>10081.829</v>
      </c>
      <c r="H137" s="2714">
        <f t="shared" si="8"/>
        <v>10585.92045</v>
      </c>
      <c r="I137" s="1958">
        <f t="shared" si="8"/>
        <v>11115.2164725</v>
      </c>
    </row>
    <row r="138" spans="1:9" ht="16.5" customHeight="1" x14ac:dyDescent="0.2">
      <c r="A138" s="1925" t="s">
        <v>1094</v>
      </c>
      <c r="B138" s="1891" t="str">
        <f>Бюд.р.!A509</f>
        <v>Закупка товаров, работ и услуг  для государственных (муниципальных) нужд</v>
      </c>
      <c r="C138" s="1784" t="s">
        <v>696</v>
      </c>
      <c r="D138" s="2712" t="s">
        <v>417</v>
      </c>
      <c r="E138" s="1784" t="str">
        <f>Бюд.р.!D509</f>
        <v>795 09 00</v>
      </c>
      <c r="F138" s="1878">
        <f>Бюд.р.!F509</f>
        <v>200</v>
      </c>
      <c r="G138" s="1956">
        <f>Бюд.р.!H509</f>
        <v>10081.829</v>
      </c>
      <c r="H138" s="2814">
        <f>G138*1.05</f>
        <v>10585.92045</v>
      </c>
      <c r="I138" s="2814">
        <f>H138*1.05</f>
        <v>11115.2164725</v>
      </c>
    </row>
    <row r="139" spans="1:9" ht="16.5" customHeight="1" x14ac:dyDescent="0.2">
      <c r="A139" s="1927"/>
      <c r="B139" s="1943" t="str">
        <f>Бюд.р.!A516</f>
        <v>Другие вопросы в области культуры, кинематографии</v>
      </c>
      <c r="C139" s="1893">
        <v>968</v>
      </c>
      <c r="D139" s="2135" t="s">
        <v>1442</v>
      </c>
      <c r="E139" s="1893"/>
      <c r="F139" s="1949"/>
      <c r="G139" s="2714">
        <f>G140+G142</f>
        <v>1546.98</v>
      </c>
      <c r="H139" s="2714">
        <f>H140+H142</f>
        <v>1624.3290000000002</v>
      </c>
      <c r="I139" s="2714">
        <f>I140+I142</f>
        <v>1705.5454500000001</v>
      </c>
    </row>
    <row r="140" spans="1:9" ht="24.75" customHeight="1" thickBot="1" x14ac:dyDescent="0.25">
      <c r="A140" s="1927"/>
      <c r="B140" s="1943" t="str">
        <f>Бюд.р.!A517</f>
        <v xml:space="preserve">Ведомственная целевая программа по организации и проведению досуговых мероприятий для жителей МО МО Озеро Долгое </v>
      </c>
      <c r="C140" s="1893">
        <v>968</v>
      </c>
      <c r="D140" s="2135" t="s">
        <v>1442</v>
      </c>
      <c r="E140" s="1893" t="str">
        <f>E141</f>
        <v>795 06 00</v>
      </c>
      <c r="F140" s="1949"/>
      <c r="G140" s="2714">
        <f t="shared" ref="G140:I142" si="9">G141</f>
        <v>1314.25</v>
      </c>
      <c r="H140" s="2714">
        <f t="shared" si="9"/>
        <v>1379.9625000000001</v>
      </c>
      <c r="I140" s="1958">
        <f t="shared" si="9"/>
        <v>1448.9606250000002</v>
      </c>
    </row>
    <row r="141" spans="1:9" ht="13.5" thickBot="1" x14ac:dyDescent="0.25">
      <c r="A141" s="1923" t="s">
        <v>154</v>
      </c>
      <c r="B141" s="1891" t="str">
        <f>Бюд.р.!A518</f>
        <v>Закупка товаров, работ и услуг  для государственных (муниципальных) нужд</v>
      </c>
      <c r="C141" s="1784">
        <v>968</v>
      </c>
      <c r="D141" s="2712" t="s">
        <v>1442</v>
      </c>
      <c r="E141" s="1784" t="str">
        <f>Бюд.р.!D518</f>
        <v>795 06 00</v>
      </c>
      <c r="F141" s="1878">
        <f>Бюд.р.!F518</f>
        <v>200</v>
      </c>
      <c r="G141" s="1956">
        <f>Бюд.р.!H518</f>
        <v>1314.25</v>
      </c>
      <c r="H141" s="2814">
        <f>G141*1.05</f>
        <v>1379.9625000000001</v>
      </c>
      <c r="I141" s="2814">
        <f>H141*1.05</f>
        <v>1448.9606250000002</v>
      </c>
    </row>
    <row r="142" spans="1:9" ht="24" x14ac:dyDescent="0.2">
      <c r="A142" s="2906"/>
      <c r="B142" s="1943" t="str">
        <f>Бюд.р.!A523</f>
        <v>Ведомственная целевая программа по военно-патриотическому воспитанию граждан муниципального образования</v>
      </c>
      <c r="C142" s="1893">
        <v>968</v>
      </c>
      <c r="D142" s="2135" t="s">
        <v>1442</v>
      </c>
      <c r="E142" s="1893" t="str">
        <f>Бюд.р.!D523</f>
        <v>795 08 00</v>
      </c>
      <c r="F142" s="1949"/>
      <c r="G142" s="2714">
        <f t="shared" si="9"/>
        <v>232.73000000000002</v>
      </c>
      <c r="H142" s="2714">
        <f t="shared" si="9"/>
        <v>244.36650000000003</v>
      </c>
      <c r="I142" s="1958">
        <f t="shared" si="9"/>
        <v>256.58482500000002</v>
      </c>
    </row>
    <row r="143" spans="1:9" x14ac:dyDescent="0.2">
      <c r="A143" s="2906"/>
      <c r="B143" s="1891" t="str">
        <f>Бюд.р.!A524</f>
        <v>Закупка товаров, работ и услуг  для государственных (муниципальных) нужд</v>
      </c>
      <c r="C143" s="1784">
        <v>968</v>
      </c>
      <c r="D143" s="2712" t="s">
        <v>1442</v>
      </c>
      <c r="E143" s="1784" t="str">
        <f>Бюд.р.!D524</f>
        <v>795 08 00</v>
      </c>
      <c r="F143" s="1878">
        <f>Бюд.р.!F524</f>
        <v>200</v>
      </c>
      <c r="G143" s="1956">
        <f>Бюд.р.!H524</f>
        <v>232.73000000000002</v>
      </c>
      <c r="H143" s="2814">
        <f>G143*1.05</f>
        <v>244.36650000000003</v>
      </c>
      <c r="I143" s="2814">
        <f>H143*1.05</f>
        <v>256.58482500000002</v>
      </c>
    </row>
    <row r="144" spans="1:9" ht="12" customHeight="1" x14ac:dyDescent="0.2">
      <c r="A144" s="1921" t="s">
        <v>42</v>
      </c>
      <c r="B144" s="1940" t="s">
        <v>291</v>
      </c>
      <c r="C144" s="1886" t="s">
        <v>696</v>
      </c>
      <c r="D144" s="1884" t="s">
        <v>346</v>
      </c>
      <c r="E144" s="1884"/>
      <c r="F144" s="1885"/>
      <c r="G144" s="1957">
        <f>G145+G148</f>
        <v>16911.899999999998</v>
      </c>
      <c r="H144" s="2742">
        <f>H145+H148</f>
        <v>18242.11</v>
      </c>
      <c r="I144" s="2742">
        <f>I145+I148</f>
        <v>19396.745499999997</v>
      </c>
    </row>
    <row r="145" spans="1:9" ht="12.75" customHeight="1" x14ac:dyDescent="0.2">
      <c r="A145" s="1920" t="s">
        <v>43</v>
      </c>
      <c r="B145" s="2730" t="s">
        <v>1097</v>
      </c>
      <c r="C145" s="1893" t="s">
        <v>696</v>
      </c>
      <c r="D145" s="2136" t="s">
        <v>1101</v>
      </c>
      <c r="E145" s="2136"/>
      <c r="F145" s="2213"/>
      <c r="G145" s="2714">
        <f t="shared" ref="G145:I146" si="10">G146</f>
        <v>970.2</v>
      </c>
      <c r="H145" s="1958">
        <f t="shared" si="10"/>
        <v>1018.71</v>
      </c>
      <c r="I145" s="1958">
        <f t="shared" si="10"/>
        <v>1069.6455000000001</v>
      </c>
    </row>
    <row r="146" spans="1:9" ht="22.5" x14ac:dyDescent="0.2">
      <c r="A146" s="1928" t="s">
        <v>86</v>
      </c>
      <c r="B146" s="2723" t="str">
        <f>Бюд.р.!A530</f>
        <v>РАСХОДЫ НА ПРЕДОСТАВЛЕНИЕ ДОПЛАТ К ПЕНСИИ ЛИЦАМ, ЗАМЕЩАВШИМ МУНИЦИПАЛЬНЫЕ ДОЛЖНОСТИ И ДОЛЖНОСТИ МУНИЦИПАЛЬНОЙ СЛУЖБЫ</v>
      </c>
      <c r="C146" s="2719" t="s">
        <v>696</v>
      </c>
      <c r="D146" s="2731" t="s">
        <v>1101</v>
      </c>
      <c r="E146" s="2719" t="str">
        <f>E147</f>
        <v>505 01 00</v>
      </c>
      <c r="F146" s="2721"/>
      <c r="G146" s="1953">
        <f>G147</f>
        <v>970.2</v>
      </c>
      <c r="H146" s="1953">
        <f t="shared" si="10"/>
        <v>1018.71</v>
      </c>
      <c r="I146" s="2741">
        <f t="shared" si="10"/>
        <v>1069.6455000000001</v>
      </c>
    </row>
    <row r="147" spans="1:9" ht="18" customHeight="1" x14ac:dyDescent="0.2">
      <c r="A147" s="1921" t="s">
        <v>87</v>
      </c>
      <c r="B147" s="1942" t="str">
        <f>Бюд.р.!A531</f>
        <v>Социальное обеспечение и иные выплаты населению</v>
      </c>
      <c r="C147" s="1934" t="s">
        <v>696</v>
      </c>
      <c r="D147" s="1888" t="s">
        <v>1101</v>
      </c>
      <c r="E147" s="1889" t="str">
        <f>Бюд.р.!D531</f>
        <v>505 01 00</v>
      </c>
      <c r="F147" s="1890">
        <f>Бюд.р.!F531</f>
        <v>300</v>
      </c>
      <c r="G147" s="1956">
        <f>Бюд.р.!H531</f>
        <v>970.2</v>
      </c>
      <c r="H147" s="2814">
        <f>G147*1.05</f>
        <v>1018.71</v>
      </c>
      <c r="I147" s="2814">
        <f>H147*1.05</f>
        <v>1069.6455000000001</v>
      </c>
    </row>
    <row r="148" spans="1:9" ht="16.5" customHeight="1" x14ac:dyDescent="0.2">
      <c r="A148" s="1921" t="s">
        <v>1234</v>
      </c>
      <c r="B148" s="2730" t="s">
        <v>779</v>
      </c>
      <c r="C148" s="1893" t="s">
        <v>696</v>
      </c>
      <c r="D148" s="2136" t="s">
        <v>922</v>
      </c>
      <c r="E148" s="2136"/>
      <c r="F148" s="2213"/>
      <c r="G148" s="2714">
        <f>G149+G152+G154</f>
        <v>15941.699999999999</v>
      </c>
      <c r="H148" s="2714">
        <f>H149+H152+H154</f>
        <v>17223.400000000001</v>
      </c>
      <c r="I148" s="1958">
        <f>I149+I152+I154</f>
        <v>18327.099999999999</v>
      </c>
    </row>
    <row r="149" spans="1:9" ht="41.25" customHeight="1" x14ac:dyDescent="0.2">
      <c r="A149" s="1921" t="s">
        <v>1236</v>
      </c>
      <c r="B149" s="1941" t="str">
        <f>Бюд.р.!A536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49" s="1886" t="s">
        <v>696</v>
      </c>
      <c r="D149" s="1884" t="s">
        <v>922</v>
      </c>
      <c r="E149" s="1886" t="str">
        <f>E150</f>
        <v>002  80 31</v>
      </c>
      <c r="F149" s="1887"/>
      <c r="G149" s="1957">
        <f>SUM(G150:G151)</f>
        <v>3724</v>
      </c>
      <c r="H149" s="1957">
        <f>SUM(H150:H151)</f>
        <v>4790.2000000000007</v>
      </c>
      <c r="I149" s="2742">
        <f>SUM(I150:I151)</f>
        <v>5173.8</v>
      </c>
    </row>
    <row r="150" spans="1:9" ht="41.25" customHeight="1" x14ac:dyDescent="0.2">
      <c r="A150" s="2732"/>
      <c r="B150" s="1891" t="str">
        <f>Бюд.р.!A537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0" s="1784">
        <v>968</v>
      </c>
      <c r="D150" s="1898">
        <v>1004</v>
      </c>
      <c r="E150" s="1784" t="str">
        <f>Бюд.р.!D537</f>
        <v>002  80 31</v>
      </c>
      <c r="F150" s="1878">
        <f>Бюд.р.!F537</f>
        <v>100</v>
      </c>
      <c r="G150" s="1952">
        <f>Бюд.р.!H537</f>
        <v>3469.0160000000001</v>
      </c>
      <c r="H150" s="2810">
        <v>4465.6000000000004</v>
      </c>
      <c r="I150" s="2810">
        <v>4823.2</v>
      </c>
    </row>
    <row r="151" spans="1:9" ht="16.5" customHeight="1" thickBot="1" x14ac:dyDescent="0.25">
      <c r="A151" s="2732"/>
      <c r="B151" s="1891" t="str">
        <f>Бюд.р.!A543</f>
        <v>Закупка товаров, работ и услуг  для государственных (муниципальных) нужд</v>
      </c>
      <c r="C151" s="1784">
        <v>968</v>
      </c>
      <c r="D151" s="1898">
        <v>1004</v>
      </c>
      <c r="E151" s="1784" t="str">
        <f>E150</f>
        <v>002  80 31</v>
      </c>
      <c r="F151" s="1878">
        <f>Бюд.р.!F543</f>
        <v>200</v>
      </c>
      <c r="G151" s="1952">
        <f>Бюд.р.!H543</f>
        <v>254.98399999999998</v>
      </c>
      <c r="H151" s="2810">
        <v>324.60000000000002</v>
      </c>
      <c r="I151" s="2810">
        <v>350.6</v>
      </c>
    </row>
    <row r="152" spans="1:9" ht="40.5" customHeight="1" thickBot="1" x14ac:dyDescent="0.25">
      <c r="A152" s="1929" t="s">
        <v>1028</v>
      </c>
      <c r="B152" s="1940" t="str">
        <f>Бюд.р.!A557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52" s="1886" t="s">
        <v>696</v>
      </c>
      <c r="D152" s="1884" t="s">
        <v>922</v>
      </c>
      <c r="E152" s="1884" t="str">
        <f>E153</f>
        <v>511 80 32</v>
      </c>
      <c r="F152" s="1885"/>
      <c r="G152" s="1957">
        <f>G153</f>
        <v>9259.7999999999993</v>
      </c>
      <c r="H152" s="1957">
        <f>H153</f>
        <v>9787.4</v>
      </c>
      <c r="I152" s="2742">
        <f>I153</f>
        <v>10277</v>
      </c>
    </row>
    <row r="153" spans="1:9" ht="13.5" thickBot="1" x14ac:dyDescent="0.25">
      <c r="A153" s="2733"/>
      <c r="B153" s="1937" t="str">
        <f>Бюд.р.!A558</f>
        <v>Социальное обеспечение и иные выплаты населению</v>
      </c>
      <c r="C153" s="1784">
        <v>968</v>
      </c>
      <c r="D153" s="1898">
        <v>1004</v>
      </c>
      <c r="E153" s="1898" t="str">
        <f>Бюд.р.!D558</f>
        <v>511 80 32</v>
      </c>
      <c r="F153" s="1899">
        <f>Бюд.р.!F558</f>
        <v>300</v>
      </c>
      <c r="G153" s="1952">
        <f>Бюд.р.!H558</f>
        <v>9259.7999999999993</v>
      </c>
      <c r="H153" s="2810">
        <v>9787.4</v>
      </c>
      <c r="I153" s="2810">
        <v>10277</v>
      </c>
    </row>
    <row r="154" spans="1:9" ht="36" x14ac:dyDescent="0.2">
      <c r="A154" s="1930" t="s">
        <v>1104</v>
      </c>
      <c r="B154" s="1940" t="str">
        <f>Бюд.р.!A562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54" s="1886" t="s">
        <v>696</v>
      </c>
      <c r="D154" s="1884" t="s">
        <v>922</v>
      </c>
      <c r="E154" s="1884" t="str">
        <f>E155</f>
        <v>511 80 33</v>
      </c>
      <c r="F154" s="1885"/>
      <c r="G154" s="1957">
        <f>G155</f>
        <v>2957.9</v>
      </c>
      <c r="H154" s="1957">
        <f>H155</f>
        <v>2645.8</v>
      </c>
      <c r="I154" s="2742">
        <f>I155</f>
        <v>2876.3</v>
      </c>
    </row>
    <row r="155" spans="1:9" ht="14.25" customHeight="1" x14ac:dyDescent="0.2">
      <c r="A155" s="1932"/>
      <c r="B155" s="1937" t="str">
        <f>Бюд.р.!A563</f>
        <v>Социальное обеспечение и иные выплаты населению</v>
      </c>
      <c r="C155" s="1784">
        <v>968</v>
      </c>
      <c r="D155" s="1898">
        <v>1004</v>
      </c>
      <c r="E155" s="1898" t="str">
        <f>Бюд.р.!D563</f>
        <v>511 80 33</v>
      </c>
      <c r="F155" s="1899">
        <f>Бюд.р.!F563</f>
        <v>300</v>
      </c>
      <c r="G155" s="1952">
        <f>Бюд.р.!H563</f>
        <v>2957.9</v>
      </c>
      <c r="H155" s="2810">
        <v>2645.8</v>
      </c>
      <c r="I155" s="2810">
        <v>2876.3</v>
      </c>
    </row>
    <row r="156" spans="1:9" x14ac:dyDescent="0.2">
      <c r="A156" s="1921" t="s">
        <v>1105</v>
      </c>
      <c r="B156" s="1943" t="s">
        <v>1018</v>
      </c>
      <c r="C156" s="1893">
        <v>968</v>
      </c>
      <c r="D156" s="1893">
        <v>1100</v>
      </c>
      <c r="E156" s="1893"/>
      <c r="F156" s="1949"/>
      <c r="G156" s="1957">
        <f t="shared" ref="G156:I158" si="11">G157</f>
        <v>3557.8850000000002</v>
      </c>
      <c r="H156" s="2742">
        <f t="shared" si="11"/>
        <v>3735.7792500000005</v>
      </c>
      <c r="I156" s="2742">
        <f t="shared" si="11"/>
        <v>3922.5682125000008</v>
      </c>
    </row>
    <row r="157" spans="1:9" x14ac:dyDescent="0.2">
      <c r="A157" s="1920" t="s">
        <v>1106</v>
      </c>
      <c r="B157" s="1943" t="s">
        <v>1019</v>
      </c>
      <c r="C157" s="1893">
        <v>968</v>
      </c>
      <c r="D157" s="1893">
        <v>1102</v>
      </c>
      <c r="E157" s="1893"/>
      <c r="F157" s="1949"/>
      <c r="G157" s="2714">
        <f t="shared" si="11"/>
        <v>3557.8850000000002</v>
      </c>
      <c r="H157" s="1958">
        <f t="shared" si="11"/>
        <v>3735.7792500000005</v>
      </c>
      <c r="I157" s="1958">
        <f t="shared" si="11"/>
        <v>3922.5682125000008</v>
      </c>
    </row>
    <row r="158" spans="1:9" ht="52.5" customHeight="1" x14ac:dyDescent="0.2">
      <c r="A158" s="1920" t="s">
        <v>215</v>
      </c>
      <c r="B158" s="1941" t="str">
        <f>Бюд.р.!A577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58" s="1886">
        <v>968</v>
      </c>
      <c r="D158" s="1886">
        <v>1102</v>
      </c>
      <c r="E158" s="1886" t="str">
        <f>E159</f>
        <v>795 10 00</v>
      </c>
      <c r="F158" s="1887"/>
      <c r="G158" s="1957">
        <f>G159</f>
        <v>3557.8850000000002</v>
      </c>
      <c r="H158" s="1957">
        <f t="shared" si="11"/>
        <v>3735.7792500000005</v>
      </c>
      <c r="I158" s="2742">
        <f t="shared" si="11"/>
        <v>3922.5682125000008</v>
      </c>
    </row>
    <row r="159" spans="1:9" ht="13.5" customHeight="1" thickBot="1" x14ac:dyDescent="0.25">
      <c r="A159" s="1931" t="s">
        <v>216</v>
      </c>
      <c r="B159" s="1891" t="str">
        <f>Бюд.р.!A578</f>
        <v>Закупка товаров, работ и услуг  для государственных (муниципальных) нужд</v>
      </c>
      <c r="C159" s="1784">
        <v>968</v>
      </c>
      <c r="D159" s="1784">
        <v>1102</v>
      </c>
      <c r="E159" s="1784" t="str">
        <f>Бюд.р.!D578</f>
        <v>795 10 00</v>
      </c>
      <c r="F159" s="1878">
        <f>Бюд.р.!F578</f>
        <v>200</v>
      </c>
      <c r="G159" s="1956">
        <f>Бюд.р.!H578</f>
        <v>3557.8850000000002</v>
      </c>
      <c r="H159" s="2782">
        <f>G159*1.05</f>
        <v>3735.7792500000005</v>
      </c>
      <c r="I159" s="2782">
        <f>H159*1.05</f>
        <v>3922.5682125000008</v>
      </c>
    </row>
    <row r="160" spans="1:9" x14ac:dyDescent="0.2">
      <c r="A160" s="1877" t="s">
        <v>1195</v>
      </c>
      <c r="B160" s="1943" t="s">
        <v>1020</v>
      </c>
      <c r="C160" s="1893">
        <v>968</v>
      </c>
      <c r="D160" s="1893">
        <v>1200</v>
      </c>
      <c r="E160" s="1893"/>
      <c r="F160" s="1949"/>
      <c r="G160" s="1957">
        <f t="shared" ref="G160:I162" si="12">G161</f>
        <v>1800</v>
      </c>
      <c r="H160" s="2742">
        <f t="shared" si="12"/>
        <v>1890</v>
      </c>
      <c r="I160" s="2742">
        <f t="shared" si="12"/>
        <v>1984.5</v>
      </c>
    </row>
    <row r="161" spans="1:9" ht="15" customHeight="1" thickBot="1" x14ac:dyDescent="0.25">
      <c r="A161" s="1927" t="s">
        <v>1196</v>
      </c>
      <c r="B161" s="2734" t="s">
        <v>773</v>
      </c>
      <c r="C161" s="2735">
        <v>968</v>
      </c>
      <c r="D161" s="2735">
        <v>1202</v>
      </c>
      <c r="E161" s="2735"/>
      <c r="F161" s="2736"/>
      <c r="G161" s="2737">
        <f t="shared" si="12"/>
        <v>1800</v>
      </c>
      <c r="H161" s="2816">
        <f t="shared" si="12"/>
        <v>1890</v>
      </c>
      <c r="I161" s="2816">
        <f t="shared" si="12"/>
        <v>1984.5</v>
      </c>
    </row>
    <row r="162" spans="1:9" ht="13.5" thickBot="1" x14ac:dyDescent="0.25">
      <c r="A162" s="1411"/>
      <c r="B162" s="1870" t="s">
        <v>1162</v>
      </c>
      <c r="C162" s="1871">
        <v>968</v>
      </c>
      <c r="D162" s="1872">
        <v>1202</v>
      </c>
      <c r="E162" s="1872" t="str">
        <f>E163</f>
        <v>457 03 00</v>
      </c>
      <c r="F162" s="1933"/>
      <c r="G162" s="2738">
        <f>G163</f>
        <v>1800</v>
      </c>
      <c r="H162" s="2738">
        <f t="shared" si="12"/>
        <v>1890</v>
      </c>
      <c r="I162" s="2743">
        <f t="shared" si="12"/>
        <v>1984.5</v>
      </c>
    </row>
    <row r="163" spans="1:9" ht="18" customHeight="1" thickBot="1" x14ac:dyDescent="0.25">
      <c r="A163" s="1543"/>
      <c r="B163" s="1873" t="str">
        <f>Бюд.р.!A592</f>
        <v>Закупка товаров, работ и услуг  для государственных (муниципальных) нужд</v>
      </c>
      <c r="C163" s="1874">
        <v>968</v>
      </c>
      <c r="D163" s="1875">
        <v>1202</v>
      </c>
      <c r="E163" s="1875" t="str">
        <f>Бюд.р.!D592</f>
        <v>457 03 00</v>
      </c>
      <c r="F163" s="1876">
        <f>Бюд.р.!F592</f>
        <v>200</v>
      </c>
      <c r="G163" s="2739">
        <f>Бюд.р.!H592</f>
        <v>1800</v>
      </c>
      <c r="H163" s="2817">
        <f>G163*1.05</f>
        <v>1890</v>
      </c>
      <c r="I163" s="2818">
        <f>H163*1.05</f>
        <v>1984.5</v>
      </c>
    </row>
    <row r="164" spans="1:9" ht="24.75" customHeight="1" thickBot="1" x14ac:dyDescent="0.25">
      <c r="B164" s="3127" t="s">
        <v>1247</v>
      </c>
      <c r="C164" s="3128"/>
      <c r="D164" s="3128"/>
      <c r="E164" s="3128"/>
      <c r="F164" s="3129"/>
      <c r="G164" s="1901" t="e">
        <f>G11-G20</f>
        <v>#REF!</v>
      </c>
      <c r="H164" s="2819" t="e">
        <f>H11-H20</f>
        <v>#REF!</v>
      </c>
      <c r="I164" s="2820" t="e">
        <f>I11-I20</f>
        <v>#REF!</v>
      </c>
    </row>
    <row r="165" spans="1:9" ht="20.25" customHeight="1" x14ac:dyDescent="0.25">
      <c r="B165" s="3106" t="s">
        <v>1258</v>
      </c>
      <c r="C165" s="3107"/>
      <c r="D165" s="3107"/>
      <c r="E165" s="3107"/>
      <c r="F165" s="3108"/>
      <c r="G165" s="1902" t="e">
        <f>G164/(G12+G13)</f>
        <v>#REF!</v>
      </c>
      <c r="H165" s="2821" t="e">
        <f>H164/(H12+H13)</f>
        <v>#REF!</v>
      </c>
      <c r="I165" s="2822" t="e">
        <f>I164/(I12+I13)</f>
        <v>#REF!</v>
      </c>
    </row>
    <row r="166" spans="1:9" ht="15.75" x14ac:dyDescent="0.25">
      <c r="B166" s="3103" t="s">
        <v>1256</v>
      </c>
      <c r="C166" s="3104"/>
      <c r="D166" s="3104"/>
      <c r="E166" s="3104"/>
      <c r="F166" s="3105"/>
      <c r="G166" s="1903">
        <v>0</v>
      </c>
      <c r="H166" s="2807">
        <v>0</v>
      </c>
      <c r="I166" s="2823">
        <v>0</v>
      </c>
    </row>
    <row r="167" spans="1:9" ht="15.75" x14ac:dyDescent="0.2">
      <c r="B167" s="3103" t="s">
        <v>1248</v>
      </c>
      <c r="C167" s="3104"/>
      <c r="D167" s="3104"/>
      <c r="E167" s="3104"/>
      <c r="F167" s="3105"/>
      <c r="G167" s="1904" t="s">
        <v>1253</v>
      </c>
      <c r="H167" s="1904" t="s">
        <v>1310</v>
      </c>
      <c r="I167" s="2796" t="s">
        <v>1514</v>
      </c>
    </row>
    <row r="168" spans="1:9" ht="15.75" customHeight="1" x14ac:dyDescent="0.25">
      <c r="B168" s="3096" t="str">
        <f>ДОХ.Пр.1!D24</f>
        <v>Налог, взимаемый в связи с применением упрощенной системы налогообложения</v>
      </c>
      <c r="C168" s="3097"/>
      <c r="D168" s="3097"/>
      <c r="E168" s="3097"/>
      <c r="F168" s="3098"/>
      <c r="G168" s="1903">
        <v>10</v>
      </c>
      <c r="H168" s="1905">
        <v>10</v>
      </c>
      <c r="I168" s="2797">
        <v>10</v>
      </c>
    </row>
    <row r="169" spans="1:9" ht="15.75" x14ac:dyDescent="0.25">
      <c r="B169" s="3096" t="str">
        <f>ДОХ.Пр.1!D33</f>
        <v>Единый налог на вмененный доход для отдельных видов деятельности</v>
      </c>
      <c r="C169" s="3097"/>
      <c r="D169" s="3097"/>
      <c r="E169" s="3097"/>
      <c r="F169" s="3098"/>
      <c r="G169" s="1903">
        <v>45</v>
      </c>
      <c r="H169" s="1905">
        <v>45</v>
      </c>
      <c r="I169" s="2797">
        <v>45</v>
      </c>
    </row>
    <row r="170" spans="1:9" ht="17.25" customHeight="1" x14ac:dyDescent="0.25">
      <c r="B170" s="3109" t="s">
        <v>1311</v>
      </c>
      <c r="C170" s="3110"/>
      <c r="D170" s="3110"/>
      <c r="E170" s="3110"/>
      <c r="F170" s="3111"/>
      <c r="G170" s="1903">
        <v>45</v>
      </c>
      <c r="H170" s="1905">
        <v>45</v>
      </c>
      <c r="I170" s="2797">
        <v>45</v>
      </c>
    </row>
    <row r="171" spans="1:9" ht="15.75" x14ac:dyDescent="0.25">
      <c r="B171" s="3096" t="str">
        <f>ДОХ.Пр.1!D39</f>
        <v>Налог на имущество физических лиц</v>
      </c>
      <c r="C171" s="3097"/>
      <c r="D171" s="3097"/>
      <c r="E171" s="3097"/>
      <c r="F171" s="3098"/>
      <c r="G171" s="1903">
        <v>100</v>
      </c>
      <c r="H171" s="1905">
        <v>100</v>
      </c>
      <c r="I171" s="2797">
        <v>100</v>
      </c>
    </row>
    <row r="172" spans="1:9" ht="16.5" thickBot="1" x14ac:dyDescent="0.3">
      <c r="B172" s="3100" t="s">
        <v>1255</v>
      </c>
      <c r="C172" s="3101"/>
      <c r="D172" s="3101"/>
      <c r="E172" s="3101"/>
      <c r="F172" s="3102"/>
      <c r="G172" s="2798">
        <v>100</v>
      </c>
      <c r="H172" s="2799">
        <v>100</v>
      </c>
      <c r="I172" s="2800">
        <v>100</v>
      </c>
    </row>
    <row r="173" spans="1:9" ht="21" customHeight="1" x14ac:dyDescent="0.25">
      <c r="B173" s="990" t="s">
        <v>200</v>
      </c>
    </row>
    <row r="175" spans="1:9" ht="15.75" x14ac:dyDescent="0.2">
      <c r="B175" s="3099" t="s">
        <v>1431</v>
      </c>
      <c r="C175" s="3099"/>
      <c r="D175" s="3099"/>
      <c r="E175" s="3099"/>
      <c r="F175" s="3099"/>
      <c r="G175" s="3099"/>
      <c r="H175" s="3099"/>
      <c r="I175" s="3099"/>
    </row>
  </sheetData>
  <mergeCells count="30">
    <mergeCell ref="B5:I5"/>
    <mergeCell ref="H9:I9"/>
    <mergeCell ref="B9:F10"/>
    <mergeCell ref="B164:F164"/>
    <mergeCell ref="B11:F11"/>
    <mergeCell ref="B17:F17"/>
    <mergeCell ref="B15:F15"/>
    <mergeCell ref="B18:F18"/>
    <mergeCell ref="B19:F19"/>
    <mergeCell ref="B20:F20"/>
    <mergeCell ref="B13:F13"/>
    <mergeCell ref="B16:F16"/>
    <mergeCell ref="B1:I1"/>
    <mergeCell ref="B2:I2"/>
    <mergeCell ref="B3:I3"/>
    <mergeCell ref="B4:I4"/>
    <mergeCell ref="B14:F14"/>
    <mergeCell ref="A6:I6"/>
    <mergeCell ref="A7:I7"/>
    <mergeCell ref="A8:I8"/>
    <mergeCell ref="B12:F12"/>
    <mergeCell ref="B171:F171"/>
    <mergeCell ref="B175:I175"/>
    <mergeCell ref="B172:F172"/>
    <mergeCell ref="B167:F167"/>
    <mergeCell ref="B165:F165"/>
    <mergeCell ref="B166:F166"/>
    <mergeCell ref="B168:F168"/>
    <mergeCell ref="B169:F169"/>
    <mergeCell ref="B170:F17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opLeftCell="B5" zoomScale="91" zoomScaleNormal="91" workbookViewId="0">
      <selection activeCell="G25" sqref="G25"/>
    </sheetView>
  </sheetViews>
  <sheetFormatPr defaultRowHeight="12.75" x14ac:dyDescent="0.2"/>
  <cols>
    <col min="1" max="1" width="9.140625" hidden="1" customWidth="1"/>
    <col min="2" max="2" width="27.85546875" customWidth="1"/>
  </cols>
  <sheetData>
    <row r="1" spans="1:11" ht="15" hidden="1" x14ac:dyDescent="0.25">
      <c r="A1" s="1016"/>
      <c r="B1" s="3118" t="s">
        <v>1108</v>
      </c>
      <c r="C1" s="3118"/>
      <c r="D1" s="3118"/>
      <c r="E1" s="3118"/>
      <c r="F1" s="3118"/>
      <c r="G1" s="3118"/>
      <c r="H1" s="3118"/>
      <c r="I1" s="3118"/>
      <c r="J1" s="3118"/>
      <c r="K1" s="3118"/>
    </row>
    <row r="2" spans="1:11" ht="15" hidden="1" x14ac:dyDescent="0.25">
      <c r="A2" s="1016"/>
      <c r="B2" s="3118" t="s">
        <v>1241</v>
      </c>
      <c r="C2" s="3118"/>
      <c r="D2" s="3118"/>
      <c r="E2" s="3118"/>
      <c r="F2" s="3118"/>
      <c r="G2" s="3118"/>
      <c r="H2" s="3118"/>
      <c r="I2" s="3118"/>
      <c r="J2" s="3118"/>
      <c r="K2" s="3118"/>
    </row>
    <row r="3" spans="1:11" ht="15" hidden="1" x14ac:dyDescent="0.25">
      <c r="A3" s="1016"/>
      <c r="B3" s="3118" t="s">
        <v>1242</v>
      </c>
      <c r="C3" s="3118"/>
      <c r="D3" s="3118"/>
      <c r="E3" s="3118"/>
      <c r="F3" s="3118"/>
      <c r="G3" s="3118"/>
      <c r="H3" s="3118"/>
      <c r="I3" s="3118"/>
      <c r="J3" s="3118"/>
      <c r="K3" s="3118"/>
    </row>
    <row r="4" spans="1:11" ht="15" hidden="1" x14ac:dyDescent="0.25">
      <c r="A4" s="1016"/>
      <c r="B4" s="3118" t="s">
        <v>1260</v>
      </c>
      <c r="C4" s="3118"/>
      <c r="D4" s="3118"/>
      <c r="E4" s="3118"/>
      <c r="F4" s="3118"/>
      <c r="G4" s="3118"/>
      <c r="H4" s="3118"/>
      <c r="I4" s="3118"/>
      <c r="J4" s="3118"/>
      <c r="K4" s="3118"/>
    </row>
    <row r="5" spans="1:11" ht="15.75" x14ac:dyDescent="0.25">
      <c r="A5" s="3119" t="s">
        <v>1261</v>
      </c>
      <c r="B5" s="3119"/>
      <c r="C5" s="3119"/>
      <c r="D5" s="3119"/>
      <c r="E5" s="3119"/>
      <c r="F5" s="3119"/>
      <c r="G5" s="3119"/>
      <c r="H5" s="3119"/>
      <c r="I5" s="3119"/>
      <c r="J5" s="1544"/>
      <c r="K5" s="1544"/>
    </row>
    <row r="6" spans="1:11" ht="15.75" x14ac:dyDescent="0.25">
      <c r="A6" s="3119" t="s">
        <v>1244</v>
      </c>
      <c r="B6" s="3119"/>
      <c r="C6" s="3119"/>
      <c r="D6" s="3119"/>
      <c r="E6" s="3119"/>
      <c r="F6" s="3119"/>
      <c r="G6" s="3119"/>
      <c r="H6" s="3119"/>
      <c r="I6" s="3119"/>
      <c r="J6" s="1544"/>
      <c r="K6" s="1544"/>
    </row>
    <row r="7" spans="1:11" ht="19.5" thickBot="1" x14ac:dyDescent="0.35">
      <c r="A7" s="3120" t="s">
        <v>1245</v>
      </c>
      <c r="B7" s="3120"/>
      <c r="C7" s="3120"/>
      <c r="D7" s="3120"/>
      <c r="E7" s="3120"/>
      <c r="F7" s="3120"/>
      <c r="G7" s="3120"/>
      <c r="H7" s="3120"/>
      <c r="I7" s="3120"/>
      <c r="J7" s="1544"/>
      <c r="K7" s="1544"/>
    </row>
    <row r="8" spans="1:11" ht="19.5" hidden="1" thickBot="1" x14ac:dyDescent="0.35">
      <c r="A8" s="1545"/>
      <c r="B8" s="3169" t="s">
        <v>1259</v>
      </c>
      <c r="C8" s="3170"/>
      <c r="D8" s="3170"/>
      <c r="E8" s="3170"/>
      <c r="F8" s="3170"/>
      <c r="G8" s="1663"/>
      <c r="H8" s="1663"/>
      <c r="I8" s="1556" t="s">
        <v>1251</v>
      </c>
      <c r="J8" s="1557" t="s">
        <v>1252</v>
      </c>
      <c r="K8" s="1558" t="s">
        <v>1253</v>
      </c>
    </row>
    <row r="9" spans="1:11" ht="16.5" hidden="1" thickBot="1" x14ac:dyDescent="0.3">
      <c r="A9" s="1552"/>
      <c r="B9" s="3171" t="s">
        <v>1246</v>
      </c>
      <c r="C9" s="3172"/>
      <c r="D9" s="3172"/>
      <c r="E9" s="3172"/>
      <c r="F9" s="3172"/>
      <c r="G9" s="1662"/>
      <c r="H9" s="1662"/>
      <c r="I9" s="1560">
        <f>SUM(I10:I12)</f>
        <v>117659</v>
      </c>
      <c r="J9" s="1598">
        <f>SUM(J10:J12)</f>
        <v>121594.38500000001</v>
      </c>
      <c r="K9" s="1599">
        <f>SUM(K10:K12)</f>
        <v>127854.57925000002</v>
      </c>
    </row>
    <row r="10" spans="1:11" ht="18.75" hidden="1" x14ac:dyDescent="0.3">
      <c r="A10" s="1553"/>
      <c r="B10" s="3173" t="s">
        <v>949</v>
      </c>
      <c r="C10" s="3174"/>
      <c r="D10" s="3174"/>
      <c r="E10" s="3174"/>
      <c r="F10" s="3175"/>
      <c r="G10" s="1664"/>
      <c r="H10" s="1664"/>
      <c r="I10" s="1559">
        <f>ДОХ.Пр.1!E22</f>
        <v>99084.9</v>
      </c>
      <c r="J10" s="1600">
        <f>I10*1.05+556.6</f>
        <v>104595.74500000001</v>
      </c>
      <c r="K10" s="1601">
        <f>J10*1.05</f>
        <v>109825.53225000002</v>
      </c>
    </row>
    <row r="11" spans="1:11" ht="18.75" hidden="1" x14ac:dyDescent="0.3">
      <c r="A11" s="1553"/>
      <c r="B11" s="3176" t="s">
        <v>950</v>
      </c>
      <c r="C11" s="3177"/>
      <c r="D11" s="3177"/>
      <c r="E11" s="3177"/>
      <c r="F11" s="3178"/>
      <c r="G11" s="1665"/>
      <c r="H11" s="1665"/>
      <c r="I11" s="1554">
        <f>ДОХ.Пр.1!E44</f>
        <v>2626.8</v>
      </c>
      <c r="J11" s="1602">
        <f>I11*1.05</f>
        <v>2758.1400000000003</v>
      </c>
      <c r="K11" s="1603">
        <f>J11*1.05</f>
        <v>2896.0470000000005</v>
      </c>
    </row>
    <row r="12" spans="1:11" ht="18.75" hidden="1" x14ac:dyDescent="0.3">
      <c r="A12" s="1553"/>
      <c r="B12" s="3176" t="s">
        <v>1249</v>
      </c>
      <c r="C12" s="3177"/>
      <c r="D12" s="3177"/>
      <c r="E12" s="3177"/>
      <c r="F12" s="3178"/>
      <c r="G12" s="1665"/>
      <c r="H12" s="1665"/>
      <c r="I12" s="1554">
        <f>SUM(I13:I17)</f>
        <v>15947.3</v>
      </c>
      <c r="J12" s="1604">
        <f>SUM(J13:J17)</f>
        <v>14240.5</v>
      </c>
      <c r="K12" s="1605">
        <f>SUM(K13:K17)</f>
        <v>15133</v>
      </c>
    </row>
    <row r="13" spans="1:11" ht="18.75" hidden="1" x14ac:dyDescent="0.3">
      <c r="A13" s="1553"/>
      <c r="B13" s="3160" t="s">
        <v>466</v>
      </c>
      <c r="C13" s="3161"/>
      <c r="D13" s="3161"/>
      <c r="E13" s="3161"/>
      <c r="F13" s="3162"/>
      <c r="G13" s="1666"/>
      <c r="H13" s="1666"/>
      <c r="I13" s="1555">
        <v>0</v>
      </c>
      <c r="J13" s="1606">
        <v>0</v>
      </c>
      <c r="K13" s="1607">
        <v>0</v>
      </c>
    </row>
    <row r="14" spans="1:11" ht="18.75" hidden="1" x14ac:dyDescent="0.3">
      <c r="A14" s="1553"/>
      <c r="B14" s="3160" t="str">
        <f>ДОХ.Пр.1!D96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161"/>
      <c r="D14" s="3161"/>
      <c r="E14" s="3161"/>
      <c r="F14" s="3162"/>
      <c r="G14" s="1666"/>
      <c r="H14" s="1666"/>
      <c r="I14" s="1555">
        <f>ДОХ.Пр.1!E96</f>
        <v>3724</v>
      </c>
      <c r="J14" s="1606">
        <v>3628.3</v>
      </c>
      <c r="K14" s="1607">
        <v>3863.9</v>
      </c>
    </row>
    <row r="15" spans="1:11" ht="18.75" hidden="1" x14ac:dyDescent="0.3">
      <c r="A15" s="1553"/>
      <c r="B15" s="3160" t="str">
        <f>ДОХ.Пр.1!D97</f>
        <v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161"/>
      <c r="D15" s="3161"/>
      <c r="E15" s="3161"/>
      <c r="F15" s="3162"/>
      <c r="G15" s="1666"/>
      <c r="H15" s="1666"/>
      <c r="I15" s="1555">
        <f>ДОХ.Пр.1!E97</f>
        <v>5.6</v>
      </c>
      <c r="J15" s="1606">
        <v>5.3</v>
      </c>
      <c r="K15" s="1607">
        <v>5.6</v>
      </c>
    </row>
    <row r="16" spans="1:11" ht="18.75" hidden="1" x14ac:dyDescent="0.3">
      <c r="A16" s="1553"/>
      <c r="B16" s="3076" t="str">
        <f>ДОХ.Пр.1!D100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079"/>
      <c r="D16" s="3079"/>
      <c r="E16" s="3079"/>
      <c r="F16" s="3163"/>
      <c r="G16" s="1667"/>
      <c r="H16" s="1667"/>
      <c r="I16" s="1555">
        <f>ДОХ.Пр.1!E100</f>
        <v>9259.7999999999993</v>
      </c>
      <c r="J16" s="1606">
        <v>8312.4</v>
      </c>
      <c r="K16" s="1607">
        <v>8820</v>
      </c>
    </row>
    <row r="17" spans="1:11" ht="19.5" hidden="1" thickBot="1" x14ac:dyDescent="0.35">
      <c r="A17" s="1553"/>
      <c r="B17" s="3164" t="str">
        <f>ДОХ.Пр.1!D101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65"/>
      <c r="D17" s="3165"/>
      <c r="E17" s="3165"/>
      <c r="F17" s="3166"/>
      <c r="G17" s="1668"/>
      <c r="H17" s="1668"/>
      <c r="I17" s="1561">
        <f>ДОХ.Пр.1!E101</f>
        <v>2957.9</v>
      </c>
      <c r="J17" s="1608">
        <v>2294.5</v>
      </c>
      <c r="K17" s="1609">
        <v>2443.5</v>
      </c>
    </row>
    <row r="18" spans="1:11" ht="16.5" thickBot="1" x14ac:dyDescent="0.3">
      <c r="A18" s="1552"/>
      <c r="B18" s="3167" t="s">
        <v>1250</v>
      </c>
      <c r="C18" s="3168"/>
      <c r="D18" s="3168"/>
      <c r="E18" s="3168"/>
      <c r="F18" s="3168"/>
      <c r="G18" s="3146" t="s">
        <v>1262</v>
      </c>
      <c r="H18" s="3147"/>
      <c r="I18" s="1546" t="s">
        <v>1251</v>
      </c>
      <c r="J18" s="1610" t="s">
        <v>1252</v>
      </c>
      <c r="K18" s="1611" t="s">
        <v>1254</v>
      </c>
    </row>
    <row r="19" spans="1:11" ht="57" thickBot="1" x14ac:dyDescent="0.25">
      <c r="A19" s="1526" t="s">
        <v>955</v>
      </c>
      <c r="B19" s="1568" t="s">
        <v>273</v>
      </c>
      <c r="C19" s="1463" t="s">
        <v>498</v>
      </c>
      <c r="D19" s="1527" t="s">
        <v>286</v>
      </c>
      <c r="E19" s="1527" t="s">
        <v>284</v>
      </c>
      <c r="F19" s="1676" t="s">
        <v>121</v>
      </c>
      <c r="G19" s="1743" t="s">
        <v>99</v>
      </c>
      <c r="H19" s="1743" t="s">
        <v>1263</v>
      </c>
      <c r="I19" s="1719" t="s">
        <v>1251</v>
      </c>
      <c r="J19" s="1610" t="s">
        <v>1252</v>
      </c>
      <c r="K19" s="1611" t="s">
        <v>1254</v>
      </c>
    </row>
    <row r="20" spans="1:11" ht="13.5" thickBot="1" x14ac:dyDescent="0.25">
      <c r="A20" s="392" t="s">
        <v>811</v>
      </c>
      <c r="B20" s="1569">
        <v>2</v>
      </c>
      <c r="C20" s="1465" t="s">
        <v>526</v>
      </c>
      <c r="D20" s="227" t="s">
        <v>745</v>
      </c>
      <c r="E20" s="227" t="s">
        <v>349</v>
      </c>
      <c r="F20" s="1677" t="s">
        <v>350</v>
      </c>
      <c r="G20" s="1744"/>
      <c r="H20" s="1744"/>
      <c r="I20" s="1720">
        <v>7</v>
      </c>
      <c r="J20" s="1612">
        <v>8</v>
      </c>
      <c r="K20" s="1613">
        <v>9</v>
      </c>
    </row>
    <row r="21" spans="1:11" ht="13.5" thickBot="1" x14ac:dyDescent="0.25">
      <c r="A21" s="1540"/>
      <c r="B21" s="1570" t="str">
        <f>Бюд.р.!A57</f>
        <v>МУНИЦИПАЛЬНЫЙ СОВЕТ МО МО ОЗЕРО ДОЛГОЕ</v>
      </c>
      <c r="C21" s="1541">
        <v>925</v>
      </c>
      <c r="D21" s="1542"/>
      <c r="E21" s="1542"/>
      <c r="F21" s="1678"/>
      <c r="G21" s="1745"/>
      <c r="H21" s="1745"/>
      <c r="I21" s="1721">
        <f>I22</f>
        <v>4375.6010000000006</v>
      </c>
      <c r="J21" s="1614">
        <f>J22</f>
        <v>4594.3810500000009</v>
      </c>
      <c r="K21" s="1615">
        <f>K22</f>
        <v>4824.1001025000005</v>
      </c>
    </row>
    <row r="22" spans="1:11" ht="23.25" thickBot="1" x14ac:dyDescent="0.25">
      <c r="A22" s="1497" t="s">
        <v>738</v>
      </c>
      <c r="B22" s="1571" t="s">
        <v>122</v>
      </c>
      <c r="C22" s="1498" t="s">
        <v>103</v>
      </c>
      <c r="D22" s="1499" t="s">
        <v>511</v>
      </c>
      <c r="E22" s="1499"/>
      <c r="F22" s="1679"/>
      <c r="G22" s="1746"/>
      <c r="H22" s="1746"/>
      <c r="I22" s="1722">
        <f>I26+I23</f>
        <v>4375.6010000000006</v>
      </c>
      <c r="J22" s="1616">
        <f>J26+J23</f>
        <v>4594.3810500000009</v>
      </c>
      <c r="K22" s="1617">
        <f>K26+K23</f>
        <v>4824.1001025000005</v>
      </c>
    </row>
    <row r="23" spans="1:11" ht="45" x14ac:dyDescent="0.2">
      <c r="A23" s="1500" t="s">
        <v>811</v>
      </c>
      <c r="B23" s="1572" t="s">
        <v>152</v>
      </c>
      <c r="C23" s="1501" t="s">
        <v>103</v>
      </c>
      <c r="D23" s="1502" t="s">
        <v>510</v>
      </c>
      <c r="E23" s="1502"/>
      <c r="F23" s="1680"/>
      <c r="G23" s="1505"/>
      <c r="H23" s="1505"/>
      <c r="I23" s="1723">
        <f t="shared" ref="I23:K24" si="0">I24</f>
        <v>1117.634</v>
      </c>
      <c r="J23" s="1618">
        <f t="shared" si="0"/>
        <v>1173.5157000000002</v>
      </c>
      <c r="K23" s="1619">
        <f t="shared" si="0"/>
        <v>1232.1914850000003</v>
      </c>
    </row>
    <row r="24" spans="1:11" ht="22.5" x14ac:dyDescent="0.2">
      <c r="A24" s="1398" t="s">
        <v>299</v>
      </c>
      <c r="B24" s="1573" t="s">
        <v>513</v>
      </c>
      <c r="C24" s="1344" t="s">
        <v>103</v>
      </c>
      <c r="D24" s="1345" t="s">
        <v>510</v>
      </c>
      <c r="E24" s="1345" t="s">
        <v>514</v>
      </c>
      <c r="F24" s="1681"/>
      <c r="G24" s="1345"/>
      <c r="H24" s="1345"/>
      <c r="I24" s="1724">
        <f t="shared" si="0"/>
        <v>1117.634</v>
      </c>
      <c r="J24" s="1620">
        <f t="shared" si="0"/>
        <v>1173.5157000000002</v>
      </c>
      <c r="K24" s="1621">
        <f t="shared" si="0"/>
        <v>1232.1914850000003</v>
      </c>
    </row>
    <row r="25" spans="1:11" ht="22.5" x14ac:dyDescent="0.2">
      <c r="A25" s="1397" t="s">
        <v>212</v>
      </c>
      <c r="B25" s="1574" t="str">
        <f>Бюд.р.!A62</f>
        <v>Фонд оплаты труда и страховые взносы</v>
      </c>
      <c r="C25" s="1310" t="s">
        <v>103</v>
      </c>
      <c r="D25" s="1311" t="s">
        <v>510</v>
      </c>
      <c r="E25" s="1311" t="s">
        <v>514</v>
      </c>
      <c r="F25" s="1682" t="s">
        <v>1216</v>
      </c>
      <c r="G25" s="1311"/>
      <c r="H25" s="1311"/>
      <c r="I25" s="1725">
        <f>Бюд.р.!H62</f>
        <v>1117.634</v>
      </c>
      <c r="J25" s="1622">
        <f>I25*1.05</f>
        <v>1173.5157000000002</v>
      </c>
      <c r="K25" s="1623">
        <f>J25*1.05</f>
        <v>1232.1914850000003</v>
      </c>
    </row>
    <row r="26" spans="1:11" ht="67.5" x14ac:dyDescent="0.2">
      <c r="A26" s="1503" t="s">
        <v>924</v>
      </c>
      <c r="B26" s="1575" t="s">
        <v>1050</v>
      </c>
      <c r="C26" s="1504" t="s">
        <v>103</v>
      </c>
      <c r="D26" s="1505" t="s">
        <v>528</v>
      </c>
      <c r="E26" s="1505"/>
      <c r="F26" s="1683"/>
      <c r="G26" s="1505"/>
      <c r="H26" s="1505"/>
      <c r="I26" s="1726">
        <f>I27+I32</f>
        <v>3257.9670000000001</v>
      </c>
      <c r="J26" s="1624">
        <f>J27+J32</f>
        <v>3420.8653500000005</v>
      </c>
      <c r="K26" s="1625">
        <f>K27+K32</f>
        <v>3591.9086175000007</v>
      </c>
    </row>
    <row r="27" spans="1:11" ht="45" x14ac:dyDescent="0.2">
      <c r="A27" s="1398" t="s">
        <v>334</v>
      </c>
      <c r="B27" s="1453" t="s">
        <v>532</v>
      </c>
      <c r="C27" s="1372">
        <v>925</v>
      </c>
      <c r="D27" s="1348">
        <v>103</v>
      </c>
      <c r="E27" s="1481" t="s">
        <v>63</v>
      </c>
      <c r="F27" s="1535"/>
      <c r="G27" s="1348"/>
      <c r="H27" s="1348"/>
      <c r="I27" s="1724">
        <f>I28+I30</f>
        <v>1225.6399999999999</v>
      </c>
      <c r="J27" s="1620">
        <f>J28+J30</f>
        <v>1286.922</v>
      </c>
      <c r="K27" s="1621">
        <f>K28+K30</f>
        <v>1351.2681000000002</v>
      </c>
    </row>
    <row r="28" spans="1:11" ht="33.75" x14ac:dyDescent="0.2">
      <c r="A28" s="1398" t="s">
        <v>217</v>
      </c>
      <c r="B28" s="1453" t="s">
        <v>64</v>
      </c>
      <c r="C28" s="1372">
        <v>925</v>
      </c>
      <c r="D28" s="1348">
        <v>103</v>
      </c>
      <c r="E28" s="1348" t="s">
        <v>65</v>
      </c>
      <c r="F28" s="1684"/>
      <c r="G28" s="1491"/>
      <c r="H28" s="1491"/>
      <c r="I28" s="1724">
        <f>I29</f>
        <v>961.04</v>
      </c>
      <c r="J28" s="1620">
        <f>J29</f>
        <v>1009.092</v>
      </c>
      <c r="K28" s="1621">
        <f>K29</f>
        <v>1059.5466000000001</v>
      </c>
    </row>
    <row r="29" spans="1:11" ht="22.5" x14ac:dyDescent="0.2">
      <c r="A29" s="1397" t="s">
        <v>218</v>
      </c>
      <c r="B29" s="1574" t="str">
        <f>Бюд.р.!A70</f>
        <v>Фонд оплаты труда и страховые взносы</v>
      </c>
      <c r="C29" s="1470">
        <v>925</v>
      </c>
      <c r="D29" s="1333">
        <v>103</v>
      </c>
      <c r="E29" s="1333" t="s">
        <v>65</v>
      </c>
      <c r="F29" s="1538">
        <f>Бюд.р.!F70</f>
        <v>121</v>
      </c>
      <c r="G29" s="1333"/>
      <c r="H29" s="1333"/>
      <c r="I29" s="1727">
        <f>Бюд.р.!H70</f>
        <v>961.04</v>
      </c>
      <c r="J29" s="1622">
        <f>I29*1.05</f>
        <v>1009.092</v>
      </c>
      <c r="K29" s="1623">
        <f>J29*1.05</f>
        <v>1059.5466000000001</v>
      </c>
    </row>
    <row r="30" spans="1:11" ht="45" x14ac:dyDescent="0.2">
      <c r="A30" s="1398" t="s">
        <v>578</v>
      </c>
      <c r="B30" s="1453" t="s">
        <v>1133</v>
      </c>
      <c r="C30" s="1372">
        <v>925</v>
      </c>
      <c r="D30" s="1348">
        <v>103</v>
      </c>
      <c r="E30" s="1348" t="s">
        <v>67</v>
      </c>
      <c r="F30" s="1535"/>
      <c r="G30" s="1348"/>
      <c r="H30" s="1348"/>
      <c r="I30" s="1724">
        <f>I31</f>
        <v>264.60000000000002</v>
      </c>
      <c r="J30" s="1620">
        <f>J31</f>
        <v>277.83000000000004</v>
      </c>
      <c r="K30" s="1621">
        <f>K31</f>
        <v>291.72150000000005</v>
      </c>
    </row>
    <row r="31" spans="1:11" ht="78.75" x14ac:dyDescent="0.2">
      <c r="A31" s="1397" t="s">
        <v>219</v>
      </c>
      <c r="B31" s="1449" t="str">
        <f>Бюд.р.!A79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470">
        <v>925</v>
      </c>
      <c r="D31" s="1333">
        <v>103</v>
      </c>
      <c r="E31" s="1333" t="s">
        <v>67</v>
      </c>
      <c r="F31" s="1538">
        <f>Бюд.р.!F79</f>
        <v>123</v>
      </c>
      <c r="G31" s="1333"/>
      <c r="H31" s="1333"/>
      <c r="I31" s="1727">
        <f>Бюд.р.!H79</f>
        <v>264.60000000000002</v>
      </c>
      <c r="J31" s="1622">
        <f>I31*1.05</f>
        <v>277.83000000000004</v>
      </c>
      <c r="K31" s="1623">
        <f>J31*1.05</f>
        <v>291.72150000000005</v>
      </c>
    </row>
    <row r="32" spans="1:11" ht="33.75" x14ac:dyDescent="0.2">
      <c r="A32" s="1398" t="s">
        <v>227</v>
      </c>
      <c r="B32" s="1453" t="s">
        <v>62</v>
      </c>
      <c r="C32" s="1372">
        <v>925</v>
      </c>
      <c r="D32" s="1348">
        <v>103</v>
      </c>
      <c r="E32" s="1348" t="s">
        <v>529</v>
      </c>
      <c r="F32" s="1535"/>
      <c r="G32" s="1348"/>
      <c r="H32" s="1348"/>
      <c r="I32" s="1724">
        <f>SUM(I33:I35)</f>
        <v>2032.3270000000002</v>
      </c>
      <c r="J32" s="1620">
        <f>SUM(J33:J35)</f>
        <v>2133.9433500000005</v>
      </c>
      <c r="K32" s="1621">
        <f>SUM(K33:K35)</f>
        <v>2240.6405175000004</v>
      </c>
    </row>
    <row r="33" spans="1:11" ht="22.5" x14ac:dyDescent="0.2">
      <c r="A33" s="1493" t="s">
        <v>155</v>
      </c>
      <c r="B33" s="1574" t="str">
        <f>Бюд.р.!A84</f>
        <v>Фонд оплаты труда и страховые взносы</v>
      </c>
      <c r="C33" s="1474">
        <v>925</v>
      </c>
      <c r="D33" s="1340">
        <v>103</v>
      </c>
      <c r="E33" s="1340" t="str">
        <f>Бюд.р.!D84</f>
        <v>002  04 00</v>
      </c>
      <c r="F33" s="1685">
        <f>Бюд.р.!F84</f>
        <v>121</v>
      </c>
      <c r="G33" s="1333"/>
      <c r="H33" s="1333"/>
      <c r="I33" s="1728">
        <f>Бюд.р.!H84</f>
        <v>817.67800000000011</v>
      </c>
      <c r="J33" s="1622">
        <f>I33*1.05</f>
        <v>858.56190000000015</v>
      </c>
      <c r="K33" s="1623">
        <f>J33*1.05</f>
        <v>901.48999500000025</v>
      </c>
    </row>
    <row r="34" spans="1:11" ht="22.5" x14ac:dyDescent="0.2">
      <c r="A34" s="1493" t="s">
        <v>1124</v>
      </c>
      <c r="B34" s="1449" t="str">
        <f>Бюд.р.!A90</f>
        <v>Прочая закупка товаров, работ и услуг для муниципальных нужд</v>
      </c>
      <c r="C34" s="1474">
        <v>925</v>
      </c>
      <c r="D34" s="1340">
        <v>103</v>
      </c>
      <c r="E34" s="1340" t="str">
        <f>Бюд.р.!D90</f>
        <v>002 04 00</v>
      </c>
      <c r="F34" s="1685">
        <f>Бюд.р.!F90</f>
        <v>244</v>
      </c>
      <c r="G34" s="1333"/>
      <c r="H34" s="1333"/>
      <c r="I34" s="1728">
        <f>Бюд.р.!H90</f>
        <v>1214.6490000000001</v>
      </c>
      <c r="J34" s="1622">
        <f>I34*1.05</f>
        <v>1275.3814500000001</v>
      </c>
      <c r="K34" s="1623">
        <f>J34*1.05</f>
        <v>1339.1505225000001</v>
      </c>
    </row>
    <row r="35" spans="1:11" ht="23.25" thickBot="1" x14ac:dyDescent="0.25">
      <c r="A35" s="1493" t="s">
        <v>1125</v>
      </c>
      <c r="B35" s="1449" t="s">
        <v>1117</v>
      </c>
      <c r="C35" s="1474">
        <v>925</v>
      </c>
      <c r="D35" s="1340">
        <v>103</v>
      </c>
      <c r="E35" s="1340" t="s">
        <v>637</v>
      </c>
      <c r="F35" s="1685">
        <v>850</v>
      </c>
      <c r="G35" s="1333"/>
      <c r="H35" s="1333"/>
      <c r="I35" s="1728">
        <v>0</v>
      </c>
      <c r="J35" s="1626"/>
      <c r="K35" s="1627"/>
    </row>
    <row r="36" spans="1:11" ht="23.25" thickBot="1" x14ac:dyDescent="0.25">
      <c r="A36" s="1494"/>
      <c r="B36" s="1576" t="s">
        <v>512</v>
      </c>
      <c r="C36" s="1495" t="s">
        <v>696</v>
      </c>
      <c r="D36" s="1496"/>
      <c r="E36" s="1496"/>
      <c r="F36" s="1686"/>
      <c r="G36" s="1747"/>
      <c r="H36" s="1747"/>
      <c r="I36" s="1729" t="e">
        <f>I37+I70+I79+I89+I123+I127+I144+I150+I166+I172</f>
        <v>#REF!</v>
      </c>
      <c r="J36" s="1628" t="e">
        <f>J37+J70+J79+J89+J123+J127+J144+J150+J166+J172</f>
        <v>#REF!</v>
      </c>
      <c r="K36" s="1629" t="e">
        <f>K37+K70+K79+K89+K123+K127+K144+K150+K166+K172</f>
        <v>#REF!</v>
      </c>
    </row>
    <row r="37" spans="1:11" ht="23.25" thickBot="1" x14ac:dyDescent="0.25">
      <c r="A37" s="1497" t="s">
        <v>738</v>
      </c>
      <c r="B37" s="1571" t="s">
        <v>122</v>
      </c>
      <c r="C37" s="1498" t="s">
        <v>696</v>
      </c>
      <c r="D37" s="1499" t="s">
        <v>511</v>
      </c>
      <c r="E37" s="1499"/>
      <c r="F37" s="1679"/>
      <c r="G37" s="1746"/>
      <c r="H37" s="1746"/>
      <c r="I37" s="1722" t="e">
        <f>I38+I50+I53</f>
        <v>#REF!</v>
      </c>
      <c r="J37" s="1616" t="e">
        <f>J38+J50+J53</f>
        <v>#REF!</v>
      </c>
      <c r="K37" s="1617" t="e">
        <f>K38+K50+K53</f>
        <v>#REF!</v>
      </c>
    </row>
    <row r="38" spans="1:11" ht="101.25" x14ac:dyDescent="0.2">
      <c r="A38" s="1500" t="s">
        <v>526</v>
      </c>
      <c r="B38" s="1577" t="s">
        <v>1051</v>
      </c>
      <c r="C38" s="1501" t="s">
        <v>696</v>
      </c>
      <c r="D38" s="1502" t="s">
        <v>530</v>
      </c>
      <c r="E38" s="1502"/>
      <c r="F38" s="1680"/>
      <c r="G38" s="1505"/>
      <c r="H38" s="1505"/>
      <c r="I38" s="1723">
        <f>I39+I41</f>
        <v>26700.518999999993</v>
      </c>
      <c r="J38" s="1618">
        <f>J39+J41</f>
        <v>28034.964949999998</v>
      </c>
      <c r="K38" s="1619">
        <f>K39+K41</f>
        <v>29436.748197500001</v>
      </c>
    </row>
    <row r="39" spans="1:11" ht="22.5" x14ac:dyDescent="0.2">
      <c r="A39" s="1398" t="s">
        <v>289</v>
      </c>
      <c r="B39" s="1573" t="s">
        <v>107</v>
      </c>
      <c r="C39" s="1344" t="s">
        <v>696</v>
      </c>
      <c r="D39" s="1345" t="s">
        <v>530</v>
      </c>
      <c r="E39" s="1345" t="s">
        <v>531</v>
      </c>
      <c r="F39" s="1681"/>
      <c r="G39" s="1345"/>
      <c r="H39" s="1345"/>
      <c r="I39" s="1724">
        <f>I40</f>
        <v>1117.634</v>
      </c>
      <c r="J39" s="1620">
        <f>J40</f>
        <v>1173.5157000000002</v>
      </c>
      <c r="K39" s="1621">
        <f>K40</f>
        <v>1232.1914850000003</v>
      </c>
    </row>
    <row r="40" spans="1:11" ht="22.5" x14ac:dyDescent="0.2">
      <c r="A40" s="1397" t="s">
        <v>225</v>
      </c>
      <c r="B40" s="1574" t="str">
        <f>Бюд.р.!A153</f>
        <v>Фонд оплаты труда и страховые взносы</v>
      </c>
      <c r="C40" s="1310" t="s">
        <v>696</v>
      </c>
      <c r="D40" s="1311" t="s">
        <v>530</v>
      </c>
      <c r="E40" s="1311" t="s">
        <v>531</v>
      </c>
      <c r="F40" s="1682">
        <f>Бюд.р.!F153</f>
        <v>121</v>
      </c>
      <c r="G40" s="1311"/>
      <c r="H40" s="1311"/>
      <c r="I40" s="1727">
        <f>Бюд.р.!H153</f>
        <v>1117.634</v>
      </c>
      <c r="J40" s="1622">
        <f>I40*1.05</f>
        <v>1173.5157000000002</v>
      </c>
      <c r="K40" s="1623">
        <f>J40*1.05</f>
        <v>1232.1914850000003</v>
      </c>
    </row>
    <row r="41" spans="1:11" x14ac:dyDescent="0.2">
      <c r="A41" s="1398" t="s">
        <v>8</v>
      </c>
      <c r="B41" s="1453" t="s">
        <v>1134</v>
      </c>
      <c r="C41" s="1372">
        <v>968</v>
      </c>
      <c r="D41" s="1348">
        <v>104</v>
      </c>
      <c r="E41" s="1348" t="s">
        <v>69</v>
      </c>
      <c r="F41" s="1682"/>
      <c r="G41" s="1311"/>
      <c r="H41" s="1311"/>
      <c r="I41" s="1724">
        <f>I42+I48</f>
        <v>25582.884999999995</v>
      </c>
      <c r="J41" s="1620">
        <f>J42+J48</f>
        <v>26861.449249999998</v>
      </c>
      <c r="K41" s="1621">
        <f>K42+K48</f>
        <v>28204.556712500002</v>
      </c>
    </row>
    <row r="42" spans="1:11" ht="45" x14ac:dyDescent="0.2">
      <c r="A42" s="1398" t="s">
        <v>9</v>
      </c>
      <c r="B42" s="1573" t="s">
        <v>72</v>
      </c>
      <c r="C42" s="1344" t="s">
        <v>696</v>
      </c>
      <c r="D42" s="1345" t="s">
        <v>530</v>
      </c>
      <c r="E42" s="1345" t="s">
        <v>70</v>
      </c>
      <c r="F42" s="1681"/>
      <c r="G42" s="1345"/>
      <c r="H42" s="1345"/>
      <c r="I42" s="1724">
        <f>I43+I44+I47</f>
        <v>25577.284999999996</v>
      </c>
      <c r="J42" s="1620">
        <f>J43+J44+J47</f>
        <v>26856.149249999999</v>
      </c>
      <c r="K42" s="1621">
        <f>K43+K44+K47</f>
        <v>28198.956712500003</v>
      </c>
    </row>
    <row r="43" spans="1:11" ht="22.5" x14ac:dyDescent="0.2">
      <c r="A43" s="1397" t="s">
        <v>40</v>
      </c>
      <c r="B43" s="1574" t="str">
        <f>Бюд.р.!A160</f>
        <v>Фонд оплаты труда и страховые взносы</v>
      </c>
      <c r="C43" s="1490">
        <v>968</v>
      </c>
      <c r="D43" s="1491">
        <v>104</v>
      </c>
      <c r="E43" s="1491" t="s">
        <v>70</v>
      </c>
      <c r="F43" s="1684">
        <f>Бюд.р.!F160</f>
        <v>121</v>
      </c>
      <c r="G43" s="1491"/>
      <c r="H43" s="1491"/>
      <c r="I43" s="1725">
        <f>Бюд.р.!H160</f>
        <v>19631.648999999998</v>
      </c>
      <c r="J43" s="1622">
        <f>I43*1.05</f>
        <v>20613.231449999999</v>
      </c>
      <c r="K43" s="1623">
        <f>J43*1.05</f>
        <v>21643.8930225</v>
      </c>
    </row>
    <row r="44" spans="1:11" ht="22.5" x14ac:dyDescent="0.2">
      <c r="A44" s="1397" t="s">
        <v>1126</v>
      </c>
      <c r="B44" s="1492" t="s">
        <v>1118</v>
      </c>
      <c r="C44" s="1490">
        <v>968</v>
      </c>
      <c r="D44" s="1491">
        <v>104</v>
      </c>
      <c r="E44" s="1491" t="s">
        <v>70</v>
      </c>
      <c r="F44" s="1684">
        <v>240</v>
      </c>
      <c r="G44" s="1491"/>
      <c r="H44" s="1491"/>
      <c r="I44" s="1725">
        <f>SUM(I45:I46)</f>
        <v>5925.0360000000001</v>
      </c>
      <c r="J44" s="1630">
        <f>SUM(J45:J46)</f>
        <v>6221.2878000000001</v>
      </c>
      <c r="K44" s="1631">
        <f>SUM(K45:K46)</f>
        <v>6532.3521900000005</v>
      </c>
    </row>
    <row r="45" spans="1:11" ht="33.75" x14ac:dyDescent="0.2">
      <c r="A45" s="1397" t="s">
        <v>215</v>
      </c>
      <c r="B45" s="1492" t="str">
        <f>Бюд.р.!A166</f>
        <v>Закупка товаров, работ, услуг в сфере информационно-коммуникационных технологий</v>
      </c>
      <c r="C45" s="1490">
        <v>968</v>
      </c>
      <c r="D45" s="1491">
        <f>Бюд.р.!C166</f>
        <v>104</v>
      </c>
      <c r="E45" s="1491" t="str">
        <f>Бюд.р.!D166</f>
        <v>002  06 01</v>
      </c>
      <c r="F45" s="1684">
        <f>Бюд.р.!F166</f>
        <v>242</v>
      </c>
      <c r="G45" s="1491"/>
      <c r="H45" s="1491"/>
      <c r="I45" s="1725">
        <f>Бюд.р.!H166</f>
        <v>2739.058</v>
      </c>
      <c r="J45" s="1622">
        <f t="shared" ref="J45:K47" si="1">I45*1.05</f>
        <v>2876.0109000000002</v>
      </c>
      <c r="K45" s="1623">
        <f t="shared" si="1"/>
        <v>3019.8114450000003</v>
      </c>
    </row>
    <row r="46" spans="1:11" ht="22.5" x14ac:dyDescent="0.2">
      <c r="A46" s="1397" t="s">
        <v>216</v>
      </c>
      <c r="B46" s="1492" t="str">
        <f>Бюд.р.!A175</f>
        <v>Прочая закупка товаров, работ и услуг для муниципальных нужд</v>
      </c>
      <c r="C46" s="1490">
        <v>968</v>
      </c>
      <c r="D46" s="1491">
        <f>Бюд.р.!C175</f>
        <v>104</v>
      </c>
      <c r="E46" s="1491" t="str">
        <f>Бюд.р.!D175</f>
        <v>002  06 01</v>
      </c>
      <c r="F46" s="1684">
        <f>Бюд.р.!F175</f>
        <v>244</v>
      </c>
      <c r="G46" s="1491"/>
      <c r="H46" s="1491"/>
      <c r="I46" s="1725">
        <f>Бюд.р.!H175</f>
        <v>3185.9780000000001</v>
      </c>
      <c r="J46" s="1622">
        <f t="shared" si="1"/>
        <v>3345.2769000000003</v>
      </c>
      <c r="K46" s="1623">
        <f t="shared" si="1"/>
        <v>3512.5407450000002</v>
      </c>
    </row>
    <row r="47" spans="1:11" ht="22.5" x14ac:dyDescent="0.2">
      <c r="A47" s="1397" t="s">
        <v>1127</v>
      </c>
      <c r="B47" s="1492" t="str">
        <f>Бюд.р.!A202</f>
        <v>Уплата налога на имущество организаций и земельного налога</v>
      </c>
      <c r="C47" s="1490">
        <v>968</v>
      </c>
      <c r="D47" s="1491">
        <v>104</v>
      </c>
      <c r="E47" s="1491" t="str">
        <f>Бюд.р.!D202</f>
        <v>002  06 01</v>
      </c>
      <c r="F47" s="1684">
        <f>Бюд.р.!F202</f>
        <v>851</v>
      </c>
      <c r="G47" s="1491"/>
      <c r="H47" s="1491"/>
      <c r="I47" s="1725">
        <f>Бюд.р.!H202</f>
        <v>20.6</v>
      </c>
      <c r="J47" s="1622">
        <f t="shared" si="1"/>
        <v>21.630000000000003</v>
      </c>
      <c r="K47" s="1623">
        <f t="shared" si="1"/>
        <v>22.711500000000004</v>
      </c>
    </row>
    <row r="48" spans="1:11" ht="90" x14ac:dyDescent="0.2">
      <c r="A48" s="1402" t="s">
        <v>39</v>
      </c>
      <c r="B48" s="1447" t="s">
        <v>74</v>
      </c>
      <c r="C48" s="1482">
        <v>968</v>
      </c>
      <c r="D48" s="1483">
        <v>104</v>
      </c>
      <c r="E48" s="1483" t="s">
        <v>75</v>
      </c>
      <c r="F48" s="1687"/>
      <c r="G48" s="1483"/>
      <c r="H48" s="1483"/>
      <c r="I48" s="1730">
        <f>I49</f>
        <v>5.6</v>
      </c>
      <c r="J48" s="1632">
        <f>J49</f>
        <v>5.3</v>
      </c>
      <c r="K48" s="1633">
        <f>K49</f>
        <v>5.6</v>
      </c>
    </row>
    <row r="49" spans="1:11" ht="45" x14ac:dyDescent="0.2">
      <c r="A49" s="1397" t="s">
        <v>41</v>
      </c>
      <c r="B49" s="1449" t="s">
        <v>885</v>
      </c>
      <c r="C49" s="1470">
        <v>968</v>
      </c>
      <c r="D49" s="1333">
        <v>104</v>
      </c>
      <c r="E49" s="1333" t="s">
        <v>75</v>
      </c>
      <c r="F49" s="1538">
        <v>598</v>
      </c>
      <c r="G49" s="1333"/>
      <c r="H49" s="1333"/>
      <c r="I49" s="1727">
        <f>Бюд.р.!H210</f>
        <v>5.6</v>
      </c>
      <c r="J49" s="1622">
        <v>5.3</v>
      </c>
      <c r="K49" s="1623">
        <v>5.6</v>
      </c>
    </row>
    <row r="50" spans="1:11" x14ac:dyDescent="0.2">
      <c r="A50" s="1503" t="s">
        <v>745</v>
      </c>
      <c r="B50" s="1578" t="s">
        <v>31</v>
      </c>
      <c r="C50" s="1504">
        <v>968</v>
      </c>
      <c r="D50" s="1505">
        <v>111</v>
      </c>
      <c r="E50" s="1505"/>
      <c r="F50" s="1683"/>
      <c r="G50" s="1505"/>
      <c r="H50" s="1505"/>
      <c r="I50" s="1726">
        <f t="shared" ref="I50:K51" si="2">I51</f>
        <v>2739.1710000000003</v>
      </c>
      <c r="J50" s="1624">
        <f t="shared" si="2"/>
        <v>2876.1295500000006</v>
      </c>
      <c r="K50" s="1625">
        <f t="shared" si="2"/>
        <v>3019.9360275000008</v>
      </c>
    </row>
    <row r="51" spans="1:11" ht="22.5" x14ac:dyDescent="0.2">
      <c r="A51" s="1398" t="s">
        <v>746</v>
      </c>
      <c r="B51" s="1453" t="s">
        <v>32</v>
      </c>
      <c r="C51" s="1372">
        <v>968</v>
      </c>
      <c r="D51" s="1348">
        <v>111</v>
      </c>
      <c r="E51" s="1348" t="s">
        <v>33</v>
      </c>
      <c r="F51" s="1535"/>
      <c r="G51" s="1348"/>
      <c r="H51" s="1348"/>
      <c r="I51" s="1730">
        <f t="shared" si="2"/>
        <v>2739.1710000000003</v>
      </c>
      <c r="J51" s="1632">
        <f t="shared" si="2"/>
        <v>2876.1295500000006</v>
      </c>
      <c r="K51" s="1633">
        <f t="shared" si="2"/>
        <v>3019.9360275000008</v>
      </c>
    </row>
    <row r="52" spans="1:11" x14ac:dyDescent="0.2">
      <c r="A52" s="1397" t="s">
        <v>489</v>
      </c>
      <c r="B52" s="1449" t="s">
        <v>1119</v>
      </c>
      <c r="C52" s="1470">
        <v>968</v>
      </c>
      <c r="D52" s="1333">
        <v>111</v>
      </c>
      <c r="E52" s="1333" t="s">
        <v>34</v>
      </c>
      <c r="F52" s="1538">
        <v>870</v>
      </c>
      <c r="G52" s="1333"/>
      <c r="H52" s="1333"/>
      <c r="I52" s="1727">
        <f>Бюд.р.!H223</f>
        <v>2739.1710000000003</v>
      </c>
      <c r="J52" s="1622">
        <f>I52*1.05</f>
        <v>2876.1295500000006</v>
      </c>
      <c r="K52" s="1623">
        <f>J52*1.05</f>
        <v>3019.9360275000008</v>
      </c>
    </row>
    <row r="53" spans="1:11" ht="22.5" x14ac:dyDescent="0.2">
      <c r="A53" s="1503" t="s">
        <v>349</v>
      </c>
      <c r="B53" s="1575" t="s">
        <v>464</v>
      </c>
      <c r="C53" s="1504" t="s">
        <v>696</v>
      </c>
      <c r="D53" s="1505" t="s">
        <v>1054</v>
      </c>
      <c r="E53" s="1506"/>
      <c r="F53" s="1688"/>
      <c r="G53" s="1506"/>
      <c r="H53" s="1506"/>
      <c r="I53" s="1726" t="e">
        <f>I54+I56+I58+I60+I62+I64+I66+I68</f>
        <v>#REF!</v>
      </c>
      <c r="J53" s="1624" t="e">
        <f>J54+J56+J58+J60+J62+J64+J66+J68</f>
        <v>#REF!</v>
      </c>
      <c r="K53" s="1625" t="e">
        <f>K54+K56+K58+K60+K62+K64+K66+K68</f>
        <v>#REF!</v>
      </c>
    </row>
    <row r="54" spans="1:11" ht="56.25" x14ac:dyDescent="0.2">
      <c r="A54" s="1398" t="s">
        <v>805</v>
      </c>
      <c r="B54" s="1453" t="s">
        <v>1137</v>
      </c>
      <c r="C54" s="1344" t="s">
        <v>696</v>
      </c>
      <c r="D54" s="1345" t="s">
        <v>1054</v>
      </c>
      <c r="E54" s="1378" t="str">
        <f>E55</f>
        <v>090 01 00</v>
      </c>
      <c r="F54" s="1681"/>
      <c r="G54" s="1345"/>
      <c r="H54" s="1345"/>
      <c r="I54" s="1724">
        <f>I55</f>
        <v>109.65</v>
      </c>
      <c r="J54" s="1620">
        <f>J55</f>
        <v>115.13250000000001</v>
      </c>
      <c r="K54" s="1621">
        <f>K55</f>
        <v>120.88912500000001</v>
      </c>
    </row>
    <row r="55" spans="1:11" ht="22.5" x14ac:dyDescent="0.2">
      <c r="A55" s="1397" t="s">
        <v>109</v>
      </c>
      <c r="B55" s="1449" t="str">
        <f>Бюд.р.!A229</f>
        <v>Прочая закупка товаров, работ и услуг для муниципальных нужд</v>
      </c>
      <c r="C55" s="1310" t="s">
        <v>696</v>
      </c>
      <c r="D55" s="1311" t="s">
        <v>1054</v>
      </c>
      <c r="E55" s="1311" t="s">
        <v>1135</v>
      </c>
      <c r="F55" s="1682">
        <f>Бюд.р.!F229</f>
        <v>244</v>
      </c>
      <c r="G55" s="1311"/>
      <c r="H55" s="1311"/>
      <c r="I55" s="1725">
        <f>Бюд.р.!H229</f>
        <v>109.65</v>
      </c>
      <c r="J55" s="1622">
        <f>I55*1.05</f>
        <v>115.13250000000001</v>
      </c>
      <c r="K55" s="1623">
        <f>J55*1.05</f>
        <v>120.88912500000001</v>
      </c>
    </row>
    <row r="56" spans="1:11" ht="112.5" x14ac:dyDescent="0.2">
      <c r="A56" s="1398" t="s">
        <v>890</v>
      </c>
      <c r="B56" s="1573" t="s">
        <v>468</v>
      </c>
      <c r="C56" s="1344" t="s">
        <v>696</v>
      </c>
      <c r="D56" s="1345" t="s">
        <v>1054</v>
      </c>
      <c r="E56" s="1378" t="s">
        <v>274</v>
      </c>
      <c r="F56" s="1689"/>
      <c r="G56" s="1748"/>
      <c r="H56" s="1748"/>
      <c r="I56" s="1724">
        <f>SUM(I57:I57)</f>
        <v>0</v>
      </c>
      <c r="J56" s="1620">
        <f>SUM(J57:J57)</f>
        <v>0</v>
      </c>
      <c r="K56" s="1621">
        <f>SUM(K57:K57)</f>
        <v>0</v>
      </c>
    </row>
    <row r="57" spans="1:11" ht="22.5" x14ac:dyDescent="0.2">
      <c r="A57" s="1397" t="s">
        <v>527</v>
      </c>
      <c r="B57" s="1574" t="s">
        <v>1062</v>
      </c>
      <c r="C57" s="1310" t="s">
        <v>696</v>
      </c>
      <c r="D57" s="1311" t="s">
        <v>1054</v>
      </c>
      <c r="E57" s="1311" t="s">
        <v>274</v>
      </c>
      <c r="F57" s="1682" t="s">
        <v>1128</v>
      </c>
      <c r="G57" s="1311"/>
      <c r="H57" s="1311"/>
      <c r="I57" s="1725">
        <f>Бюд.р.!H237</f>
        <v>0</v>
      </c>
      <c r="J57" s="1622">
        <f>I57*1.05</f>
        <v>0</v>
      </c>
      <c r="K57" s="1623">
        <f>J57*1.05</f>
        <v>0</v>
      </c>
    </row>
    <row r="58" spans="1:11" ht="22.5" x14ac:dyDescent="0.2">
      <c r="A58" s="1398" t="s">
        <v>16</v>
      </c>
      <c r="B58" s="1453" t="s">
        <v>1023</v>
      </c>
      <c r="C58" s="1372">
        <v>968</v>
      </c>
      <c r="D58" s="1348">
        <v>113</v>
      </c>
      <c r="E58" s="1348" t="str">
        <f>E59</f>
        <v>092 02 00</v>
      </c>
      <c r="F58" s="1535"/>
      <c r="G58" s="1348"/>
      <c r="H58" s="1348"/>
      <c r="I58" s="1724">
        <f>I59</f>
        <v>400</v>
      </c>
      <c r="J58" s="1620">
        <f>J59</f>
        <v>420</v>
      </c>
      <c r="K58" s="1621">
        <f>K59</f>
        <v>441</v>
      </c>
    </row>
    <row r="59" spans="1:11" ht="22.5" x14ac:dyDescent="0.2">
      <c r="A59" s="1397" t="s">
        <v>17</v>
      </c>
      <c r="B59" s="1449" t="str">
        <f>Бюд.р.!A242</f>
        <v>Прочая закупка товаров, работ и услуг для муниципальных нужд</v>
      </c>
      <c r="C59" s="1470">
        <v>968</v>
      </c>
      <c r="D59" s="1333">
        <v>113</v>
      </c>
      <c r="E59" s="1333" t="s">
        <v>636</v>
      </c>
      <c r="F59" s="1538">
        <f>Бюд.р.!F242</f>
        <v>244</v>
      </c>
      <c r="G59" s="1333"/>
      <c r="H59" s="1333"/>
      <c r="I59" s="1727">
        <f>Бюд.р.!H242</f>
        <v>400</v>
      </c>
      <c r="J59" s="1622">
        <f>I59*1.05</f>
        <v>420</v>
      </c>
      <c r="K59" s="1623">
        <f>J59*1.05</f>
        <v>441</v>
      </c>
    </row>
    <row r="60" spans="1:11" ht="78.75" x14ac:dyDescent="0.2">
      <c r="A60" s="1398" t="s">
        <v>1030</v>
      </c>
      <c r="B60" s="1453" t="s">
        <v>1138</v>
      </c>
      <c r="C60" s="1372">
        <v>968</v>
      </c>
      <c r="D60" s="1348">
        <v>113</v>
      </c>
      <c r="E60" s="1348" t="str">
        <f>E61</f>
        <v>092 05 00</v>
      </c>
      <c r="F60" s="1682"/>
      <c r="G60" s="1311"/>
      <c r="H60" s="1311"/>
      <c r="I60" s="1724" t="e">
        <f>I61</f>
        <v>#REF!</v>
      </c>
      <c r="J60" s="1620" t="e">
        <f>J61</f>
        <v>#REF!</v>
      </c>
      <c r="K60" s="1621" t="e">
        <f>K61</f>
        <v>#REF!</v>
      </c>
    </row>
    <row r="61" spans="1:11" x14ac:dyDescent="0.2">
      <c r="A61" s="1397" t="s">
        <v>1031</v>
      </c>
      <c r="B61" s="1449" t="e">
        <f>Бюд.р.!#REF!</f>
        <v>#REF!</v>
      </c>
      <c r="C61" s="1310" t="s">
        <v>696</v>
      </c>
      <c r="D61" s="1311" t="s">
        <v>1054</v>
      </c>
      <c r="E61" s="1311" t="s">
        <v>524</v>
      </c>
      <c r="F61" s="1682" t="e">
        <f>Бюд.р.!#REF!</f>
        <v>#REF!</v>
      </c>
      <c r="G61" s="1311"/>
      <c r="H61" s="1311"/>
      <c r="I61" s="1725" t="e">
        <f>Бюд.р.!#REF!</f>
        <v>#REF!</v>
      </c>
      <c r="J61" s="1622" t="e">
        <f>I61*1.05</f>
        <v>#REF!</v>
      </c>
      <c r="K61" s="1623" t="e">
        <f>J61*1.05</f>
        <v>#REF!</v>
      </c>
    </row>
    <row r="62" spans="1:11" ht="112.5" x14ac:dyDescent="0.2">
      <c r="A62" s="1398" t="s">
        <v>1032</v>
      </c>
      <c r="B62" s="1453" t="s">
        <v>1139</v>
      </c>
      <c r="C62" s="1372">
        <v>968</v>
      </c>
      <c r="D62" s="1348">
        <v>113</v>
      </c>
      <c r="E62" s="1348" t="str">
        <f>E63</f>
        <v>092 06 00</v>
      </c>
      <c r="F62" s="1535"/>
      <c r="G62" s="1348"/>
      <c r="H62" s="1348"/>
      <c r="I62" s="1724">
        <f>I63</f>
        <v>333.91999999999996</v>
      </c>
      <c r="J62" s="1620">
        <f>J63</f>
        <v>350.61599999999999</v>
      </c>
      <c r="K62" s="1621">
        <f>K63</f>
        <v>368.14679999999998</v>
      </c>
    </row>
    <row r="63" spans="1:11" ht="22.5" x14ac:dyDescent="0.2">
      <c r="A63" s="1403" t="s">
        <v>1033</v>
      </c>
      <c r="B63" s="1449" t="str">
        <f>Бюд.р.!A252</f>
        <v>Прочая закупка товаров, работ и услуг для муниципальных нужд</v>
      </c>
      <c r="C63" s="1474">
        <v>968</v>
      </c>
      <c r="D63" s="1340">
        <v>113</v>
      </c>
      <c r="E63" s="1340" t="s">
        <v>1140</v>
      </c>
      <c r="F63" s="1685">
        <f>Бюд.р.!F252</f>
        <v>244</v>
      </c>
      <c r="G63" s="1333"/>
      <c r="H63" s="1333"/>
      <c r="I63" s="1728">
        <f>Бюд.р.!H252</f>
        <v>333.91999999999996</v>
      </c>
      <c r="J63" s="1622">
        <f>I63*1.05</f>
        <v>350.61599999999999</v>
      </c>
      <c r="K63" s="1623">
        <f>J63*1.05</f>
        <v>368.14679999999998</v>
      </c>
    </row>
    <row r="64" spans="1:11" ht="22.5" x14ac:dyDescent="0.2">
      <c r="A64" s="1398" t="s">
        <v>1095</v>
      </c>
      <c r="B64" s="1447" t="str">
        <f>Бюд.р.!A255</f>
        <v>РАСХОДЫ НА ПОДДЕРЖАНИЕ САЙТА МО МО ОЗЕРО ДОЛГОЕ</v>
      </c>
      <c r="C64" s="1507">
        <f>Бюд.р.!B255</f>
        <v>968</v>
      </c>
      <c r="D64" s="1508">
        <f>Бюд.р.!C255</f>
        <v>113</v>
      </c>
      <c r="E64" s="1508" t="str">
        <f>Бюд.р.!D255</f>
        <v>092 08 00</v>
      </c>
      <c r="F64" s="1690"/>
      <c r="G64" s="1483"/>
      <c r="H64" s="1483"/>
      <c r="I64" s="1731">
        <f>I65</f>
        <v>0</v>
      </c>
      <c r="J64" s="1634">
        <f>J65</f>
        <v>0</v>
      </c>
      <c r="K64" s="1635">
        <f>K65</f>
        <v>0</v>
      </c>
    </row>
    <row r="65" spans="1:11" ht="33.75" x14ac:dyDescent="0.2">
      <c r="A65" s="1403" t="s">
        <v>1096</v>
      </c>
      <c r="B65" s="1449" t="str">
        <f>Бюд.р.!A257</f>
        <v>Закупка товаров, работ, услуг в сфере информационно-коммуникационных технологий</v>
      </c>
      <c r="C65" s="1474">
        <v>968</v>
      </c>
      <c r="D65" s="1340">
        <v>113</v>
      </c>
      <c r="E65" s="1340" t="str">
        <f>Бюд.р.!D257</f>
        <v>092 08 00</v>
      </c>
      <c r="F65" s="1685">
        <f>Бюд.р.!F257</f>
        <v>242</v>
      </c>
      <c r="G65" s="1333"/>
      <c r="H65" s="1333"/>
      <c r="I65" s="1728">
        <f>Бюд.р.!H257</f>
        <v>0</v>
      </c>
      <c r="J65" s="1622">
        <f>I65*1.05</f>
        <v>0</v>
      </c>
      <c r="K65" s="1623">
        <f>J65*1.05</f>
        <v>0</v>
      </c>
    </row>
    <row r="66" spans="1:11" x14ac:dyDescent="0.2">
      <c r="A66" s="1402" t="s">
        <v>1226</v>
      </c>
      <c r="B66" s="1447" t="e">
        <f>Бюд.р.!#REF!</f>
        <v>#REF!</v>
      </c>
      <c r="C66" s="1507">
        <v>968</v>
      </c>
      <c r="D66" s="1508">
        <v>113</v>
      </c>
      <c r="E66" s="1508" t="e">
        <f>Бюд.р.!#REF!</f>
        <v>#REF!</v>
      </c>
      <c r="F66" s="1690"/>
      <c r="G66" s="1483"/>
      <c r="H66" s="1483"/>
      <c r="I66" s="1731" t="e">
        <f>I67</f>
        <v>#REF!</v>
      </c>
      <c r="J66" s="1634" t="e">
        <f>J67</f>
        <v>#REF!</v>
      </c>
      <c r="K66" s="1635" t="e">
        <f>K67</f>
        <v>#REF!</v>
      </c>
    </row>
    <row r="67" spans="1:11" x14ac:dyDescent="0.2">
      <c r="A67" s="1397" t="s">
        <v>1227</v>
      </c>
      <c r="B67" s="1449" t="e">
        <f>Бюд.р.!#REF!</f>
        <v>#REF!</v>
      </c>
      <c r="C67" s="1474">
        <v>968</v>
      </c>
      <c r="D67" s="1340">
        <v>113</v>
      </c>
      <c r="E67" s="1340" t="e">
        <f>Бюд.р.!#REF!</f>
        <v>#REF!</v>
      </c>
      <c r="F67" s="1685" t="e">
        <f>Бюд.р.!#REF!</f>
        <v>#REF!</v>
      </c>
      <c r="G67" s="1333"/>
      <c r="H67" s="1333"/>
      <c r="I67" s="1728" t="e">
        <f>Бюд.р.!#REF!</f>
        <v>#REF!</v>
      </c>
      <c r="J67" s="1622" t="e">
        <f>I67*1.05</f>
        <v>#REF!</v>
      </c>
      <c r="K67" s="1623" t="e">
        <f>J67*1.05</f>
        <v>#REF!</v>
      </c>
    </row>
    <row r="68" spans="1:11" ht="45" x14ac:dyDescent="0.2">
      <c r="A68" s="1398" t="s">
        <v>1228</v>
      </c>
      <c r="B68" s="1453" t="s">
        <v>1145</v>
      </c>
      <c r="C68" s="1372">
        <v>968</v>
      </c>
      <c r="D68" s="1348">
        <v>113</v>
      </c>
      <c r="E68" s="1348" t="str">
        <f>E69</f>
        <v>795 02 00</v>
      </c>
      <c r="F68" s="1684"/>
      <c r="G68" s="1491"/>
      <c r="H68" s="1491"/>
      <c r="I68" s="1724">
        <f>I69</f>
        <v>90</v>
      </c>
      <c r="J68" s="1620">
        <f>J69</f>
        <v>94.5</v>
      </c>
      <c r="K68" s="1621">
        <f>K69</f>
        <v>99.225000000000009</v>
      </c>
    </row>
    <row r="69" spans="1:11" ht="23.25" thickBot="1" x14ac:dyDescent="0.25">
      <c r="A69" s="1397" t="s">
        <v>1229</v>
      </c>
      <c r="B69" s="1449" t="str">
        <f>Бюд.р.!A268</f>
        <v>Прочая закупка товаров, работ и услуг для муниципальных нужд</v>
      </c>
      <c r="C69" s="1470">
        <v>968</v>
      </c>
      <c r="D69" s="1333">
        <v>113</v>
      </c>
      <c r="E69" s="1333" t="s">
        <v>1143</v>
      </c>
      <c r="F69" s="1538">
        <f>Бюд.р.!F268</f>
        <v>244</v>
      </c>
      <c r="G69" s="1333"/>
      <c r="H69" s="1333"/>
      <c r="I69" s="1727">
        <f>Бюд.р.!H268</f>
        <v>90</v>
      </c>
      <c r="J69" s="1622">
        <f>I69*1.05</f>
        <v>94.5</v>
      </c>
      <c r="K69" s="1623">
        <f>J69*1.05</f>
        <v>99.225000000000009</v>
      </c>
    </row>
    <row r="70" spans="1:11" ht="45.75" thickBot="1" x14ac:dyDescent="0.25">
      <c r="A70" s="1497" t="s">
        <v>739</v>
      </c>
      <c r="B70" s="1571" t="s">
        <v>281</v>
      </c>
      <c r="C70" s="1498" t="s">
        <v>696</v>
      </c>
      <c r="D70" s="1499" t="s">
        <v>523</v>
      </c>
      <c r="E70" s="1499"/>
      <c r="F70" s="1691"/>
      <c r="G70" s="1749"/>
      <c r="H70" s="1749"/>
      <c r="I70" s="1732" t="e">
        <f>I71</f>
        <v>#REF!</v>
      </c>
      <c r="J70" s="1636" t="e">
        <f>J71</f>
        <v>#REF!</v>
      </c>
      <c r="K70" s="1637" t="e">
        <f>K71</f>
        <v>#REF!</v>
      </c>
    </row>
    <row r="71" spans="1:11" ht="45" x14ac:dyDescent="0.2">
      <c r="A71" s="1500" t="s">
        <v>350</v>
      </c>
      <c r="B71" s="1572" t="s">
        <v>1053</v>
      </c>
      <c r="C71" s="1501" t="s">
        <v>696</v>
      </c>
      <c r="D71" s="1502" t="s">
        <v>462</v>
      </c>
      <c r="E71" s="1509"/>
      <c r="F71" s="1692"/>
      <c r="G71" s="1750"/>
      <c r="H71" s="1750"/>
      <c r="I71" s="1723" t="e">
        <f>I72+I77</f>
        <v>#REF!</v>
      </c>
      <c r="J71" s="1618" t="e">
        <f>J72+J77</f>
        <v>#REF!</v>
      </c>
      <c r="K71" s="1619" t="e">
        <f>K72+K77</f>
        <v>#REF!</v>
      </c>
    </row>
    <row r="72" spans="1:11" ht="22.5" x14ac:dyDescent="0.2">
      <c r="A72" s="1398" t="s">
        <v>806</v>
      </c>
      <c r="B72" s="1453" t="s">
        <v>1163</v>
      </c>
      <c r="C72" s="1344" t="s">
        <v>696</v>
      </c>
      <c r="D72" s="1345" t="s">
        <v>462</v>
      </c>
      <c r="E72" s="1345" t="s">
        <v>810</v>
      </c>
      <c r="F72" s="1681"/>
      <c r="G72" s="1345"/>
      <c r="H72" s="1345"/>
      <c r="I72" s="1724" t="e">
        <f>I73+I75</f>
        <v>#REF!</v>
      </c>
      <c r="J72" s="1620" t="e">
        <f>J73+J75</f>
        <v>#REF!</v>
      </c>
      <c r="K72" s="1621" t="e">
        <f>K73+K75</f>
        <v>#REF!</v>
      </c>
    </row>
    <row r="73" spans="1:11" ht="56.25" x14ac:dyDescent="0.2">
      <c r="A73" s="1422" t="s">
        <v>110</v>
      </c>
      <c r="B73" s="1453" t="s">
        <v>1151</v>
      </c>
      <c r="C73" s="1372">
        <v>968</v>
      </c>
      <c r="D73" s="1348">
        <v>309</v>
      </c>
      <c r="E73" s="1348" t="str">
        <f>E74</f>
        <v>219 01 00</v>
      </c>
      <c r="F73" s="1681"/>
      <c r="G73" s="1345"/>
      <c r="H73" s="1345"/>
      <c r="I73" s="1724" t="e">
        <f>I74</f>
        <v>#REF!</v>
      </c>
      <c r="J73" s="1620" t="e">
        <f>J74</f>
        <v>#REF!</v>
      </c>
      <c r="K73" s="1621" t="e">
        <f>K74</f>
        <v>#REF!</v>
      </c>
    </row>
    <row r="74" spans="1:11" x14ac:dyDescent="0.2">
      <c r="A74" s="1397" t="s">
        <v>157</v>
      </c>
      <c r="B74" s="1449" t="e">
        <f>Бюд.р.!#REF!</f>
        <v>#REF!</v>
      </c>
      <c r="C74" s="1470">
        <v>968</v>
      </c>
      <c r="D74" s="1333">
        <v>309</v>
      </c>
      <c r="E74" s="1333" t="s">
        <v>1152</v>
      </c>
      <c r="F74" s="1693" t="e">
        <f>Бюд.р.!#REF!</f>
        <v>#REF!</v>
      </c>
      <c r="G74" s="1751"/>
      <c r="H74" s="1751"/>
      <c r="I74" s="1727" t="e">
        <f>Бюд.р.!#REF!</f>
        <v>#REF!</v>
      </c>
      <c r="J74" s="1622" t="e">
        <f>I74*1.05</f>
        <v>#REF!</v>
      </c>
      <c r="K74" s="1623" t="e">
        <f>J74*1.05</f>
        <v>#REF!</v>
      </c>
    </row>
    <row r="75" spans="1:11" ht="101.25" x14ac:dyDescent="0.2">
      <c r="A75" s="1398" t="s">
        <v>240</v>
      </c>
      <c r="B75" s="1579" t="s">
        <v>1149</v>
      </c>
      <c r="C75" s="1478">
        <v>968</v>
      </c>
      <c r="D75" s="1423">
        <v>309</v>
      </c>
      <c r="E75" s="1423" t="str">
        <f>E76</f>
        <v>219 03 00</v>
      </c>
      <c r="F75" s="1694"/>
      <c r="G75" s="1348"/>
      <c r="H75" s="1348"/>
      <c r="I75" s="1733">
        <f>I76</f>
        <v>151.351</v>
      </c>
      <c r="J75" s="1638">
        <f>J76</f>
        <v>158.91855000000001</v>
      </c>
      <c r="K75" s="1639">
        <f>K76</f>
        <v>166.86447750000002</v>
      </c>
    </row>
    <row r="76" spans="1:11" ht="22.5" x14ac:dyDescent="0.2">
      <c r="A76" s="1397" t="s">
        <v>158</v>
      </c>
      <c r="B76" s="1449" t="str">
        <f>Бюд.р.!A283</f>
        <v>Прочая закупка товаров, работ и услуг для муниципальных нужд</v>
      </c>
      <c r="C76" s="1470">
        <v>968</v>
      </c>
      <c r="D76" s="1333">
        <v>309</v>
      </c>
      <c r="E76" s="1333" t="s">
        <v>1150</v>
      </c>
      <c r="F76" s="1538">
        <f>Бюд.р.!F283</f>
        <v>244</v>
      </c>
      <c r="G76" s="1333"/>
      <c r="H76" s="1333"/>
      <c r="I76" s="1727">
        <f>Бюд.р.!H283</f>
        <v>151.351</v>
      </c>
      <c r="J76" s="1622">
        <f>I76*1.05</f>
        <v>158.91855000000001</v>
      </c>
      <c r="K76" s="1623">
        <f>J76*1.05</f>
        <v>166.86447750000002</v>
      </c>
    </row>
    <row r="77" spans="1:11" ht="78.75" x14ac:dyDescent="0.2">
      <c r="A77" s="1398" t="s">
        <v>891</v>
      </c>
      <c r="B77" s="1453" t="s">
        <v>1147</v>
      </c>
      <c r="C77" s="1372">
        <v>968</v>
      </c>
      <c r="D77" s="1348">
        <v>309</v>
      </c>
      <c r="E77" s="1348" t="str">
        <f>E78</f>
        <v>795 05 00</v>
      </c>
      <c r="F77" s="1681"/>
      <c r="G77" s="1345"/>
      <c r="H77" s="1345"/>
      <c r="I77" s="1724">
        <f>I78</f>
        <v>125</v>
      </c>
      <c r="J77" s="1620">
        <f>J78</f>
        <v>131.25</v>
      </c>
      <c r="K77" s="1621">
        <f>K78</f>
        <v>137.8125</v>
      </c>
    </row>
    <row r="78" spans="1:11" ht="23.25" thickBot="1" x14ac:dyDescent="0.25">
      <c r="A78" s="1403" t="s">
        <v>10</v>
      </c>
      <c r="B78" s="1449" t="str">
        <f>Бюд.р.!A304</f>
        <v>Прочая закупка товаров, работ и услуг для муниципальных нужд</v>
      </c>
      <c r="C78" s="1361" t="s">
        <v>696</v>
      </c>
      <c r="D78" s="1362" t="s">
        <v>462</v>
      </c>
      <c r="E78" s="1362" t="s">
        <v>15</v>
      </c>
      <c r="F78" s="1695">
        <f>Бюд.р.!F304</f>
        <v>244</v>
      </c>
      <c r="G78" s="1311"/>
      <c r="H78" s="1311"/>
      <c r="I78" s="1734">
        <f>Бюд.р.!H304</f>
        <v>125</v>
      </c>
      <c r="J78" s="1622">
        <f>I78*1.05</f>
        <v>131.25</v>
      </c>
      <c r="K78" s="1623">
        <f>J78*1.05</f>
        <v>137.8125</v>
      </c>
    </row>
    <row r="79" spans="1:11" ht="13.5" thickBot="1" x14ac:dyDescent="0.25">
      <c r="A79" s="1497" t="s">
        <v>740</v>
      </c>
      <c r="B79" s="1571" t="s">
        <v>1014</v>
      </c>
      <c r="C79" s="1498" t="s">
        <v>696</v>
      </c>
      <c r="D79" s="1499" t="s">
        <v>1026</v>
      </c>
      <c r="E79" s="1499"/>
      <c r="F79" s="1691"/>
      <c r="G79" s="1749"/>
      <c r="H79" s="1749"/>
      <c r="I79" s="1722">
        <f>I80++I83+I86</f>
        <v>186.5</v>
      </c>
      <c r="J79" s="1616">
        <f>J80++J83+J86</f>
        <v>195.82500000000002</v>
      </c>
      <c r="K79" s="1617">
        <f>K80++K83+K86</f>
        <v>205.61625000000004</v>
      </c>
    </row>
    <row r="80" spans="1:11" x14ac:dyDescent="0.2">
      <c r="A80" s="1500" t="s">
        <v>351</v>
      </c>
      <c r="B80" s="1510" t="s">
        <v>1064</v>
      </c>
      <c r="C80" s="1501">
        <v>968</v>
      </c>
      <c r="D80" s="1502">
        <v>401</v>
      </c>
      <c r="E80" s="1502"/>
      <c r="F80" s="1680"/>
      <c r="G80" s="1505"/>
      <c r="H80" s="1505"/>
      <c r="I80" s="1723">
        <f t="shared" ref="I80:K81" si="3">I81</f>
        <v>166.5</v>
      </c>
      <c r="J80" s="1618">
        <f t="shared" si="3"/>
        <v>174.82500000000002</v>
      </c>
      <c r="K80" s="1619">
        <f t="shared" si="3"/>
        <v>183.56625000000003</v>
      </c>
    </row>
    <row r="81" spans="1:11" ht="45" x14ac:dyDescent="0.2">
      <c r="A81" s="1398" t="s">
        <v>118</v>
      </c>
      <c r="B81" s="1453" t="s">
        <v>1142</v>
      </c>
      <c r="C81" s="1372">
        <v>968</v>
      </c>
      <c r="D81" s="1348">
        <v>401</v>
      </c>
      <c r="E81" s="1348" t="s">
        <v>1065</v>
      </c>
      <c r="F81" s="1535"/>
      <c r="G81" s="1348"/>
      <c r="H81" s="1348"/>
      <c r="I81" s="1724">
        <f t="shared" si="3"/>
        <v>166.5</v>
      </c>
      <c r="J81" s="1620">
        <f t="shared" si="3"/>
        <v>174.82500000000002</v>
      </c>
      <c r="K81" s="1621">
        <f t="shared" si="3"/>
        <v>183.56625000000003</v>
      </c>
    </row>
    <row r="82" spans="1:11" ht="67.5" x14ac:dyDescent="0.2">
      <c r="A82" s="1404" t="s">
        <v>1232</v>
      </c>
      <c r="B82" s="1449" t="s">
        <v>1120</v>
      </c>
      <c r="C82" s="1470">
        <v>968</v>
      </c>
      <c r="D82" s="1333">
        <v>401</v>
      </c>
      <c r="E82" s="1333" t="s">
        <v>1065</v>
      </c>
      <c r="F82" s="1538">
        <v>810</v>
      </c>
      <c r="G82" s="1333"/>
      <c r="H82" s="1333"/>
      <c r="I82" s="1727">
        <f>Бюд.р.!H312</f>
        <v>166.5</v>
      </c>
      <c r="J82" s="1622">
        <f>I82*1.05</f>
        <v>174.82500000000002</v>
      </c>
      <c r="K82" s="1623">
        <f>J82*1.05</f>
        <v>183.56625000000003</v>
      </c>
    </row>
    <row r="83" spans="1:11" x14ac:dyDescent="0.2">
      <c r="A83" s="1500" t="s">
        <v>893</v>
      </c>
      <c r="B83" s="1510" t="s">
        <v>1187</v>
      </c>
      <c r="C83" s="1501">
        <v>968</v>
      </c>
      <c r="D83" s="1502">
        <v>410</v>
      </c>
      <c r="E83" s="1502"/>
      <c r="F83" s="1680"/>
      <c r="G83" s="1505"/>
      <c r="H83" s="1505"/>
      <c r="I83" s="1723">
        <f>I84</f>
        <v>0</v>
      </c>
      <c r="J83" s="1626"/>
      <c r="K83" s="1627"/>
    </row>
    <row r="84" spans="1:11" ht="22.5" x14ac:dyDescent="0.2">
      <c r="A84" s="1398" t="s">
        <v>111</v>
      </c>
      <c r="B84" s="1453" t="s">
        <v>1189</v>
      </c>
      <c r="C84" s="1372">
        <v>968</v>
      </c>
      <c r="D84" s="1348">
        <v>410</v>
      </c>
      <c r="E84" s="1348" t="s">
        <v>1186</v>
      </c>
      <c r="F84" s="1535"/>
      <c r="G84" s="1348"/>
      <c r="H84" s="1348"/>
      <c r="I84" s="1724">
        <f>I85</f>
        <v>0</v>
      </c>
      <c r="J84" s="1626"/>
      <c r="K84" s="1627"/>
    </row>
    <row r="85" spans="1:11" ht="22.5" x14ac:dyDescent="0.2">
      <c r="A85" s="1404" t="s">
        <v>1066</v>
      </c>
      <c r="B85" s="1449" t="s">
        <v>1118</v>
      </c>
      <c r="C85" s="1470">
        <v>968</v>
      </c>
      <c r="D85" s="1333">
        <v>410</v>
      </c>
      <c r="E85" s="1333" t="s">
        <v>1186</v>
      </c>
      <c r="F85" s="1538">
        <v>240</v>
      </c>
      <c r="G85" s="1333"/>
      <c r="H85" s="1333"/>
      <c r="I85" s="1727">
        <f>Бюд.р.!G312</f>
        <v>0</v>
      </c>
      <c r="J85" s="1626"/>
      <c r="K85" s="1627"/>
    </row>
    <row r="86" spans="1:11" ht="22.5" x14ac:dyDescent="0.2">
      <c r="A86" s="1500">
        <v>8</v>
      </c>
      <c r="B86" s="1577" t="s">
        <v>1015</v>
      </c>
      <c r="C86" s="1501" t="s">
        <v>696</v>
      </c>
      <c r="D86" s="1502" t="s">
        <v>1025</v>
      </c>
      <c r="E86" s="1502"/>
      <c r="F86" s="1680"/>
      <c r="G86" s="1505"/>
      <c r="H86" s="1505"/>
      <c r="I86" s="1723">
        <f t="shared" ref="I86:K87" si="4">I87</f>
        <v>20</v>
      </c>
      <c r="J86" s="1618">
        <f t="shared" si="4"/>
        <v>21</v>
      </c>
      <c r="K86" s="1619">
        <f t="shared" si="4"/>
        <v>22.05</v>
      </c>
    </row>
    <row r="87" spans="1:11" ht="45" x14ac:dyDescent="0.2">
      <c r="A87" s="1398" t="s">
        <v>111</v>
      </c>
      <c r="B87" s="1453" t="s">
        <v>1017</v>
      </c>
      <c r="C87" s="1372">
        <v>968</v>
      </c>
      <c r="D87" s="1348">
        <v>412</v>
      </c>
      <c r="E87" s="1348" t="s">
        <v>1016</v>
      </c>
      <c r="F87" s="1535"/>
      <c r="G87" s="1348"/>
      <c r="H87" s="1348"/>
      <c r="I87" s="1724">
        <f t="shared" si="4"/>
        <v>20</v>
      </c>
      <c r="J87" s="1620">
        <f t="shared" si="4"/>
        <v>21</v>
      </c>
      <c r="K87" s="1621">
        <f t="shared" si="4"/>
        <v>22.05</v>
      </c>
    </row>
    <row r="88" spans="1:11" ht="23.25" thickBot="1" x14ac:dyDescent="0.25">
      <c r="A88" s="1403" t="s">
        <v>1233</v>
      </c>
      <c r="B88" s="1449" t="str">
        <f>Бюд.р.!A323</f>
        <v>Прочая закупка товаров, работ и услуг для муниципальных нужд</v>
      </c>
      <c r="C88" s="1474">
        <v>968</v>
      </c>
      <c r="D88" s="1340">
        <v>412</v>
      </c>
      <c r="E88" s="1340" t="s">
        <v>1016</v>
      </c>
      <c r="F88" s="1685">
        <f>Бюд.р.!F323</f>
        <v>244</v>
      </c>
      <c r="G88" s="1333"/>
      <c r="H88" s="1333"/>
      <c r="I88" s="1728">
        <f>Бюд.р.!H323</f>
        <v>20</v>
      </c>
      <c r="J88" s="1622">
        <f>I88*1.05</f>
        <v>21</v>
      </c>
      <c r="K88" s="1623">
        <f>J88*1.05</f>
        <v>22.05</v>
      </c>
    </row>
    <row r="89" spans="1:11" ht="23.25" thickBot="1" x14ac:dyDescent="0.25">
      <c r="A89" s="1497" t="s">
        <v>741</v>
      </c>
      <c r="B89" s="1571" t="s">
        <v>283</v>
      </c>
      <c r="C89" s="1498" t="s">
        <v>696</v>
      </c>
      <c r="D89" s="1499" t="s">
        <v>448</v>
      </c>
      <c r="E89" s="1499"/>
      <c r="F89" s="1679"/>
      <c r="G89" s="1746"/>
      <c r="H89" s="1746"/>
      <c r="I89" s="1722">
        <f>I90</f>
        <v>50322.508000000002</v>
      </c>
      <c r="J89" s="1616">
        <f>J90</f>
        <v>52838.633400000006</v>
      </c>
      <c r="K89" s="1617">
        <f>K90</f>
        <v>55480.565070000004</v>
      </c>
    </row>
    <row r="90" spans="1:11" x14ac:dyDescent="0.2">
      <c r="A90" s="1500" t="s">
        <v>425</v>
      </c>
      <c r="B90" s="1572" t="s">
        <v>449</v>
      </c>
      <c r="C90" s="1501" t="s">
        <v>696</v>
      </c>
      <c r="D90" s="1502" t="s">
        <v>450</v>
      </c>
      <c r="E90" s="1502"/>
      <c r="F90" s="1680"/>
      <c r="G90" s="1505"/>
      <c r="H90" s="1505"/>
      <c r="I90" s="1723">
        <f>I91+I100+I107+I116</f>
        <v>50322.508000000002</v>
      </c>
      <c r="J90" s="1618">
        <f>J91+J100+J107+J116</f>
        <v>52838.633400000006</v>
      </c>
      <c r="K90" s="1619">
        <f>K91+K100+K107+K116</f>
        <v>55480.565070000004</v>
      </c>
    </row>
    <row r="91" spans="1:11" ht="33.75" x14ac:dyDescent="0.2">
      <c r="A91" s="1484" t="s">
        <v>112</v>
      </c>
      <c r="B91" s="1580" t="s">
        <v>1164</v>
      </c>
      <c r="C91" s="1369" t="s">
        <v>696</v>
      </c>
      <c r="D91" s="1370" t="s">
        <v>450</v>
      </c>
      <c r="E91" s="1370" t="s">
        <v>451</v>
      </c>
      <c r="F91" s="1696"/>
      <c r="G91" s="1370"/>
      <c r="H91" s="1370"/>
      <c r="I91" s="1735">
        <f>I92+I94+I96+I98</f>
        <v>36954.913</v>
      </c>
      <c r="J91" s="1640">
        <f>J92+J94+J96+J98</f>
        <v>38802.658650000005</v>
      </c>
      <c r="K91" s="1641">
        <f>K92+K94+K96+K98</f>
        <v>40742.791582500002</v>
      </c>
    </row>
    <row r="92" spans="1:11" ht="67.5" x14ac:dyDescent="0.2">
      <c r="A92" s="1398" t="s">
        <v>113</v>
      </c>
      <c r="B92" s="1581" t="str">
        <f>Бюд.р.!A329</f>
        <v>ТЕКУЩИЙ РЕМОНТ ПРИДОМОВЫХ ТЕРРИТОРИЙ И ДВОРОВЫХ ТЕРРИТОРИЙ , ВКЛЮЧАЯ ПРОЕЗДЫ И ВЪЕЗДЫ,ПЕШЕХОДНЫЕ ДОРОЖКИ</v>
      </c>
      <c r="C92" s="1344" t="s">
        <v>696</v>
      </c>
      <c r="D92" s="1345" t="s">
        <v>450</v>
      </c>
      <c r="E92" s="1345" t="s">
        <v>453</v>
      </c>
      <c r="F92" s="1681"/>
      <c r="G92" s="1345"/>
      <c r="H92" s="1345"/>
      <c r="I92" s="1724">
        <f>SUM(I93:I93)</f>
        <v>32309.071999999996</v>
      </c>
      <c r="J92" s="1620">
        <f>SUM(J93:J93)</f>
        <v>33924.525600000001</v>
      </c>
      <c r="K92" s="1621">
        <f>SUM(K93:K93)</f>
        <v>35620.751880000003</v>
      </c>
    </row>
    <row r="93" spans="1:11" ht="22.5" x14ac:dyDescent="0.2">
      <c r="A93" s="1397" t="s">
        <v>1067</v>
      </c>
      <c r="B93" s="1449" t="str">
        <f>Бюд.р.!A331</f>
        <v>Прочая закупка товаров, работ и услуг для муниципальных нужд</v>
      </c>
      <c r="C93" s="1310" t="s">
        <v>696</v>
      </c>
      <c r="D93" s="1311" t="s">
        <v>450</v>
      </c>
      <c r="E93" s="1311" t="s">
        <v>453</v>
      </c>
      <c r="F93" s="1682">
        <f>Бюд.р.!F331</f>
        <v>244</v>
      </c>
      <c r="G93" s="1311"/>
      <c r="H93" s="1311"/>
      <c r="I93" s="1725">
        <f>Бюд.р.!H331</f>
        <v>32309.071999999996</v>
      </c>
      <c r="J93" s="1622">
        <f>I93*1.05</f>
        <v>33924.525600000001</v>
      </c>
      <c r="K93" s="1623">
        <f>J93*1.05</f>
        <v>35620.751880000003</v>
      </c>
    </row>
    <row r="94" spans="1:11" ht="45" x14ac:dyDescent="0.2">
      <c r="A94" s="1398" t="s">
        <v>1068</v>
      </c>
      <c r="B94" s="1581" t="s">
        <v>1165</v>
      </c>
      <c r="C94" s="1344" t="s">
        <v>696</v>
      </c>
      <c r="D94" s="1345" t="s">
        <v>450</v>
      </c>
      <c r="E94" s="1345" t="s">
        <v>454</v>
      </c>
      <c r="F94" s="1681"/>
      <c r="G94" s="1345"/>
      <c r="H94" s="1345"/>
      <c r="I94" s="1724">
        <f>I95</f>
        <v>468.53700000000003</v>
      </c>
      <c r="J94" s="1620">
        <f>J95</f>
        <v>491.96385000000004</v>
      </c>
      <c r="K94" s="1621">
        <f>K95</f>
        <v>516.56204250000008</v>
      </c>
    </row>
    <row r="95" spans="1:11" ht="22.5" x14ac:dyDescent="0.2">
      <c r="A95" s="1397" t="s">
        <v>1069</v>
      </c>
      <c r="B95" s="1449" t="str">
        <f>Бюд.р.!A341</f>
        <v>Прочая закупка товаров, работ и услуг для муниципальных нужд</v>
      </c>
      <c r="C95" s="1310" t="s">
        <v>696</v>
      </c>
      <c r="D95" s="1311" t="s">
        <v>450</v>
      </c>
      <c r="E95" s="1311" t="s">
        <v>454</v>
      </c>
      <c r="F95" s="1682">
        <f>Бюд.р.!F341</f>
        <v>244</v>
      </c>
      <c r="G95" s="1311"/>
      <c r="H95" s="1311"/>
      <c r="I95" s="1725">
        <f>Бюд.р.!H341</f>
        <v>468.53700000000003</v>
      </c>
      <c r="J95" s="1622">
        <f>I95*1.05</f>
        <v>491.96385000000004</v>
      </c>
      <c r="K95" s="1623">
        <f>J95*1.05</f>
        <v>516.56204250000008</v>
      </c>
    </row>
    <row r="96" spans="1:11" ht="22.5" x14ac:dyDescent="0.2">
      <c r="A96" s="1398" t="s">
        <v>1070</v>
      </c>
      <c r="B96" s="1573" t="s">
        <v>37</v>
      </c>
      <c r="C96" s="1344" t="s">
        <v>696</v>
      </c>
      <c r="D96" s="1345" t="s">
        <v>450</v>
      </c>
      <c r="E96" s="1345" t="s">
        <v>455</v>
      </c>
      <c r="F96" s="1681"/>
      <c r="G96" s="1345"/>
      <c r="H96" s="1345"/>
      <c r="I96" s="1724">
        <f>SUM(I97:I97)</f>
        <v>2324.3319999999999</v>
      </c>
      <c r="J96" s="1620">
        <f>SUM(J97:J97)</f>
        <v>2440.5486000000001</v>
      </c>
      <c r="K96" s="1621">
        <f>SUM(K97:K97)</f>
        <v>2562.5760300000002</v>
      </c>
    </row>
    <row r="97" spans="1:11" ht="22.5" x14ac:dyDescent="0.2">
      <c r="A97" s="1397" t="s">
        <v>1071</v>
      </c>
      <c r="B97" s="1449" t="str">
        <f>Бюд.р.!A346</f>
        <v>Прочая закупка товаров, работ и услуг для муниципальных нужд</v>
      </c>
      <c r="C97" s="1310" t="s">
        <v>696</v>
      </c>
      <c r="D97" s="1311" t="s">
        <v>450</v>
      </c>
      <c r="E97" s="1311" t="s">
        <v>455</v>
      </c>
      <c r="F97" s="1682">
        <f>Бюд.р.!F346</f>
        <v>244</v>
      </c>
      <c r="G97" s="1311"/>
      <c r="H97" s="1311"/>
      <c r="I97" s="1725">
        <f>Бюд.р.!H346</f>
        <v>2324.3319999999999</v>
      </c>
      <c r="J97" s="1622">
        <f>I97*1.05</f>
        <v>2440.5486000000001</v>
      </c>
      <c r="K97" s="1623">
        <f>J97*1.05</f>
        <v>2562.5760300000002</v>
      </c>
    </row>
    <row r="98" spans="1:11" ht="90" x14ac:dyDescent="0.2">
      <c r="A98" s="1398" t="s">
        <v>1166</v>
      </c>
      <c r="B98" s="1573" t="s">
        <v>1038</v>
      </c>
      <c r="C98" s="1344" t="s">
        <v>696</v>
      </c>
      <c r="D98" s="1345" t="s">
        <v>450</v>
      </c>
      <c r="E98" s="1345" t="s">
        <v>457</v>
      </c>
      <c r="F98" s="1681"/>
      <c r="G98" s="1345"/>
      <c r="H98" s="1345"/>
      <c r="I98" s="1724">
        <f>I99</f>
        <v>1852.972</v>
      </c>
      <c r="J98" s="1620">
        <f>J99</f>
        <v>1945.6206</v>
      </c>
      <c r="K98" s="1621">
        <f>K99</f>
        <v>2042.9016300000001</v>
      </c>
    </row>
    <row r="99" spans="1:11" ht="22.5" x14ac:dyDescent="0.2">
      <c r="A99" s="1397" t="s">
        <v>1167</v>
      </c>
      <c r="B99" s="1449" t="str">
        <f>Бюд.р.!A357</f>
        <v>Прочая закупка товаров, работ и услуг для муниципальных нужд</v>
      </c>
      <c r="C99" s="1310" t="s">
        <v>696</v>
      </c>
      <c r="D99" s="1311" t="s">
        <v>450</v>
      </c>
      <c r="E99" s="1311" t="s">
        <v>457</v>
      </c>
      <c r="F99" s="1682">
        <f>Бюд.р.!F357</f>
        <v>244</v>
      </c>
      <c r="G99" s="1311"/>
      <c r="H99" s="1311"/>
      <c r="I99" s="1725">
        <f>Бюд.р.!H357</f>
        <v>1852.972</v>
      </c>
      <c r="J99" s="1622">
        <f>I99*1.05</f>
        <v>1945.6206</v>
      </c>
      <c r="K99" s="1623">
        <f>J99*1.05</f>
        <v>2042.9016300000001</v>
      </c>
    </row>
    <row r="100" spans="1:11" ht="45" x14ac:dyDescent="0.2">
      <c r="A100" s="1485" t="s">
        <v>1072</v>
      </c>
      <c r="B100" s="1580" t="s">
        <v>1153</v>
      </c>
      <c r="C100" s="1369" t="s">
        <v>696</v>
      </c>
      <c r="D100" s="1370" t="s">
        <v>450</v>
      </c>
      <c r="E100" s="1370" t="s">
        <v>461</v>
      </c>
      <c r="F100" s="1697"/>
      <c r="G100" s="1752"/>
      <c r="H100" s="1752"/>
      <c r="I100" s="1735">
        <f>I101+I103+I105</f>
        <v>198.17000000000002</v>
      </c>
      <c r="J100" s="1640">
        <f>J101+J103+J105</f>
        <v>208.07850000000002</v>
      </c>
      <c r="K100" s="1641">
        <f>K101+K103+K105</f>
        <v>218.48242500000003</v>
      </c>
    </row>
    <row r="101" spans="1:11" ht="33.75" x14ac:dyDescent="0.2">
      <c r="A101" s="1398" t="s">
        <v>1073</v>
      </c>
      <c r="B101" s="1573" t="s">
        <v>517</v>
      </c>
      <c r="C101" s="1344" t="s">
        <v>696</v>
      </c>
      <c r="D101" s="1345" t="s">
        <v>450</v>
      </c>
      <c r="E101" s="1345" t="s">
        <v>518</v>
      </c>
      <c r="F101" s="1681"/>
      <c r="G101" s="1345"/>
      <c r="H101" s="1345"/>
      <c r="I101" s="1724">
        <f>I102</f>
        <v>0</v>
      </c>
      <c r="J101" s="1620">
        <f>J102</f>
        <v>0</v>
      </c>
      <c r="K101" s="1621">
        <f>K102</f>
        <v>0</v>
      </c>
    </row>
    <row r="102" spans="1:11" ht="22.5" x14ac:dyDescent="0.2">
      <c r="A102" s="1405" t="s">
        <v>1074</v>
      </c>
      <c r="B102" s="1449" t="str">
        <f>Бюд.р.!A366</f>
        <v>Прочая закупка товаров, работ и услуг для муниципальных нужд</v>
      </c>
      <c r="C102" s="1310" t="s">
        <v>696</v>
      </c>
      <c r="D102" s="1311" t="s">
        <v>450</v>
      </c>
      <c r="E102" s="1311" t="s">
        <v>518</v>
      </c>
      <c r="F102" s="1682">
        <f>Бюд.р.!F366</f>
        <v>244</v>
      </c>
      <c r="G102" s="1311"/>
      <c r="H102" s="1311"/>
      <c r="I102" s="1725">
        <f>Бюд.р.!H366</f>
        <v>0</v>
      </c>
      <c r="J102" s="1622">
        <f>I102*1.05</f>
        <v>0</v>
      </c>
      <c r="K102" s="1623">
        <f>J102*1.05</f>
        <v>0</v>
      </c>
    </row>
    <row r="103" spans="1:11" ht="45" x14ac:dyDescent="0.2">
      <c r="A103" s="1398" t="s">
        <v>1075</v>
      </c>
      <c r="B103" s="1581" t="s">
        <v>519</v>
      </c>
      <c r="C103" s="1344" t="s">
        <v>696</v>
      </c>
      <c r="D103" s="1345" t="s">
        <v>450</v>
      </c>
      <c r="E103" s="1345" t="s">
        <v>430</v>
      </c>
      <c r="F103" s="1681"/>
      <c r="G103" s="1345"/>
      <c r="H103" s="1345"/>
      <c r="I103" s="1724">
        <f>I104</f>
        <v>0</v>
      </c>
      <c r="J103" s="1620">
        <f>J104</f>
        <v>0</v>
      </c>
      <c r="K103" s="1621">
        <f>K104</f>
        <v>0</v>
      </c>
    </row>
    <row r="104" spans="1:11" ht="22.5" x14ac:dyDescent="0.2">
      <c r="A104" s="1405" t="s">
        <v>1076</v>
      </c>
      <c r="B104" s="1449" t="str">
        <f>Бюд.р.!A372</f>
        <v>Прочая закупка товаров, работ и услуг для муниципальных нужд</v>
      </c>
      <c r="C104" s="1310" t="s">
        <v>696</v>
      </c>
      <c r="D104" s="1311" t="s">
        <v>450</v>
      </c>
      <c r="E104" s="1311" t="s">
        <v>430</v>
      </c>
      <c r="F104" s="1682">
        <f>Бюд.р.!F372</f>
        <v>244</v>
      </c>
      <c r="G104" s="1311"/>
      <c r="H104" s="1311"/>
      <c r="I104" s="1725">
        <f>Бюд.р.!H372</f>
        <v>0</v>
      </c>
      <c r="J104" s="1622">
        <f>I104*1.05</f>
        <v>0</v>
      </c>
      <c r="K104" s="1623">
        <f>J104*1.05</f>
        <v>0</v>
      </c>
    </row>
    <row r="105" spans="1:11" ht="33.75" x14ac:dyDescent="0.2">
      <c r="A105" s="1409" t="s">
        <v>1077</v>
      </c>
      <c r="B105" s="1581" t="s">
        <v>429</v>
      </c>
      <c r="C105" s="1344" t="s">
        <v>696</v>
      </c>
      <c r="D105" s="1345" t="s">
        <v>450</v>
      </c>
      <c r="E105" s="1345" t="s">
        <v>1154</v>
      </c>
      <c r="F105" s="1681"/>
      <c r="G105" s="1345"/>
      <c r="H105" s="1345"/>
      <c r="I105" s="1724">
        <f>I106</f>
        <v>198.17000000000002</v>
      </c>
      <c r="J105" s="1620">
        <f>J106</f>
        <v>208.07850000000002</v>
      </c>
      <c r="K105" s="1621">
        <f>K106</f>
        <v>218.48242500000003</v>
      </c>
    </row>
    <row r="106" spans="1:11" ht="22.5" x14ac:dyDescent="0.2">
      <c r="A106" s="1407" t="s">
        <v>1078</v>
      </c>
      <c r="B106" s="1449" t="str">
        <f>Бюд.р.!A377</f>
        <v>Прочая закупка товаров, работ и услуг для муниципальных нужд</v>
      </c>
      <c r="C106" s="1310" t="s">
        <v>696</v>
      </c>
      <c r="D106" s="1311" t="s">
        <v>450</v>
      </c>
      <c r="E106" s="1311" t="s">
        <v>1154</v>
      </c>
      <c r="F106" s="1682">
        <f>Бюд.р.!F377</f>
        <v>244</v>
      </c>
      <c r="G106" s="1311"/>
      <c r="H106" s="1311"/>
      <c r="I106" s="1725">
        <f>Бюд.р.!H377</f>
        <v>198.17000000000002</v>
      </c>
      <c r="J106" s="1622">
        <f>I106*1.05</f>
        <v>208.07850000000002</v>
      </c>
      <c r="K106" s="1623">
        <f>J106*1.05</f>
        <v>218.48242500000003</v>
      </c>
    </row>
    <row r="107" spans="1:11" ht="33.75" x14ac:dyDescent="0.2">
      <c r="A107" s="1485" t="s">
        <v>1079</v>
      </c>
      <c r="B107" s="1582" t="s">
        <v>793</v>
      </c>
      <c r="C107" s="1369" t="s">
        <v>696</v>
      </c>
      <c r="D107" s="1370" t="s">
        <v>450</v>
      </c>
      <c r="E107" s="1370" t="s">
        <v>794</v>
      </c>
      <c r="F107" s="1698"/>
      <c r="G107" s="1753"/>
      <c r="H107" s="1753"/>
      <c r="I107" s="1735">
        <f>I108+I110+I114+I112</f>
        <v>7891.9740000000011</v>
      </c>
      <c r="J107" s="1640">
        <f>J108+J110+J114+J112</f>
        <v>8286.5727000000006</v>
      </c>
      <c r="K107" s="1641">
        <f>K108+K110+K114+K112</f>
        <v>8700.9013350000023</v>
      </c>
    </row>
    <row r="108" spans="1:11" ht="45" x14ac:dyDescent="0.2">
      <c r="A108" s="1409" t="s">
        <v>1080</v>
      </c>
      <c r="B108" s="1453" t="s">
        <v>1155</v>
      </c>
      <c r="C108" s="1344" t="s">
        <v>696</v>
      </c>
      <c r="D108" s="1345" t="s">
        <v>450</v>
      </c>
      <c r="E108" s="1345" t="s">
        <v>791</v>
      </c>
      <c r="F108" s="1681"/>
      <c r="G108" s="1345"/>
      <c r="H108" s="1345"/>
      <c r="I108" s="1724">
        <f>SUM(I109:I109)</f>
        <v>7445.0240000000013</v>
      </c>
      <c r="J108" s="1620">
        <f>SUM(J109:J109)</f>
        <v>7817.2752000000019</v>
      </c>
      <c r="K108" s="1621">
        <f>SUM(K109:K109)</f>
        <v>8208.138960000002</v>
      </c>
    </row>
    <row r="109" spans="1:11" ht="22.5" x14ac:dyDescent="0.2">
      <c r="A109" s="1407" t="s">
        <v>1081</v>
      </c>
      <c r="B109" s="1449" t="str">
        <f>Бюд.р.!A386</f>
        <v>Прочая закупка товаров, работ и услуг для муниципальных нужд</v>
      </c>
      <c r="C109" s="1310" t="s">
        <v>696</v>
      </c>
      <c r="D109" s="1311" t="s">
        <v>450</v>
      </c>
      <c r="E109" s="1311" t="s">
        <v>791</v>
      </c>
      <c r="F109" s="1682">
        <f>Бюд.р.!F386</f>
        <v>244</v>
      </c>
      <c r="G109" s="1311"/>
      <c r="H109" s="1311"/>
      <c r="I109" s="1725">
        <f>Бюд.р.!H386</f>
        <v>7445.0240000000013</v>
      </c>
      <c r="J109" s="1622">
        <f>I109*1.05</f>
        <v>7817.2752000000019</v>
      </c>
      <c r="K109" s="1623">
        <f>J109*1.05</f>
        <v>8208.138960000002</v>
      </c>
    </row>
    <row r="110" spans="1:11" ht="33.75" x14ac:dyDescent="0.2">
      <c r="A110" s="1398" t="s">
        <v>1082</v>
      </c>
      <c r="B110" s="1453" t="s">
        <v>1156</v>
      </c>
      <c r="C110" s="1344" t="s">
        <v>696</v>
      </c>
      <c r="D110" s="1345" t="s">
        <v>450</v>
      </c>
      <c r="E110" s="1345" t="s">
        <v>795</v>
      </c>
      <c r="F110" s="1681"/>
      <c r="G110" s="1345"/>
      <c r="H110" s="1345"/>
      <c r="I110" s="1724">
        <f>I111</f>
        <v>296.95</v>
      </c>
      <c r="J110" s="1620">
        <f>J111</f>
        <v>311.79750000000001</v>
      </c>
      <c r="K110" s="1621">
        <f>K111</f>
        <v>327.38737500000002</v>
      </c>
    </row>
    <row r="111" spans="1:11" ht="22.5" x14ac:dyDescent="0.2">
      <c r="A111" s="1405" t="s">
        <v>1083</v>
      </c>
      <c r="B111" s="1449" t="str">
        <f>Бюд.р.!A396</f>
        <v>Прочая закупка товаров, работ и услуг для муниципальных нужд</v>
      </c>
      <c r="C111" s="1310" t="s">
        <v>696</v>
      </c>
      <c r="D111" s="1311" t="s">
        <v>450</v>
      </c>
      <c r="E111" s="1311" t="s">
        <v>795</v>
      </c>
      <c r="F111" s="1682">
        <f>Бюд.р.!F396</f>
        <v>244</v>
      </c>
      <c r="G111" s="1311"/>
      <c r="H111" s="1311"/>
      <c r="I111" s="1725">
        <f>Бюд.р.!H396</f>
        <v>296.95</v>
      </c>
      <c r="J111" s="1622">
        <f>I111*1.05</f>
        <v>311.79750000000001</v>
      </c>
      <c r="K111" s="1623">
        <f>J111*1.05</f>
        <v>327.38737500000002</v>
      </c>
    </row>
    <row r="112" spans="1:11" ht="78.75" x14ac:dyDescent="0.2">
      <c r="A112" s="1409" t="s">
        <v>1084</v>
      </c>
      <c r="B112" s="1453" t="s">
        <v>1175</v>
      </c>
      <c r="C112" s="1372">
        <v>968</v>
      </c>
      <c r="D112" s="1348">
        <v>503</v>
      </c>
      <c r="E112" s="1348" t="str">
        <f>E113</f>
        <v>600 03 04</v>
      </c>
      <c r="F112" s="1699"/>
      <c r="G112" s="1311"/>
      <c r="H112" s="1311"/>
      <c r="I112" s="1725">
        <f>I113</f>
        <v>0</v>
      </c>
      <c r="J112" s="1630">
        <f>J113</f>
        <v>0</v>
      </c>
      <c r="K112" s="1631">
        <f>K113</f>
        <v>0</v>
      </c>
    </row>
    <row r="113" spans="1:11" ht="22.5" x14ac:dyDescent="0.2">
      <c r="A113" s="1405" t="s">
        <v>1085</v>
      </c>
      <c r="B113" s="1449" t="str">
        <f>Бюд.р.!A403</f>
        <v>Прочая закупка товаров, работ и услуг для муниципальных нужд</v>
      </c>
      <c r="C113" s="1310" t="s">
        <v>696</v>
      </c>
      <c r="D113" s="1311" t="s">
        <v>450</v>
      </c>
      <c r="E113" s="1311" t="s">
        <v>1174</v>
      </c>
      <c r="F113" s="1682">
        <f>Бюд.р.!F403</f>
        <v>244</v>
      </c>
      <c r="G113" s="1311"/>
      <c r="H113" s="1311"/>
      <c r="I113" s="1725">
        <f>Бюд.р.!H403</f>
        <v>0</v>
      </c>
      <c r="J113" s="1622">
        <f>I113*1.05</f>
        <v>0</v>
      </c>
      <c r="K113" s="1623">
        <f>J113*1.05</f>
        <v>0</v>
      </c>
    </row>
    <row r="114" spans="1:11" ht="45" x14ac:dyDescent="0.2">
      <c r="A114" s="1409" t="s">
        <v>1176</v>
      </c>
      <c r="B114" s="1453" t="s">
        <v>1158</v>
      </c>
      <c r="C114" s="1372">
        <v>968</v>
      </c>
      <c r="D114" s="1348">
        <v>503</v>
      </c>
      <c r="E114" s="1348" t="str">
        <f>E115</f>
        <v>600 03 05</v>
      </c>
      <c r="F114" s="1700"/>
      <c r="G114" s="1378"/>
      <c r="H114" s="1378"/>
      <c r="I114" s="1724">
        <f>I115</f>
        <v>150</v>
      </c>
      <c r="J114" s="1620">
        <f>J115</f>
        <v>157.5</v>
      </c>
      <c r="K114" s="1621">
        <f>K115</f>
        <v>165.375</v>
      </c>
    </row>
    <row r="115" spans="1:11" ht="22.5" x14ac:dyDescent="0.2">
      <c r="A115" s="1405" t="s">
        <v>1177</v>
      </c>
      <c r="B115" s="1449" t="str">
        <f>Бюд.р.!A408</f>
        <v>Прочая закупка товаров, работ и услуг для муниципальных нужд</v>
      </c>
      <c r="C115" s="1310" t="s">
        <v>696</v>
      </c>
      <c r="D115" s="1311" t="s">
        <v>450</v>
      </c>
      <c r="E115" s="1311" t="s">
        <v>1157</v>
      </c>
      <c r="F115" s="1682">
        <f>Бюд.р.!F408</f>
        <v>244</v>
      </c>
      <c r="G115" s="1311"/>
      <c r="H115" s="1311"/>
      <c r="I115" s="1725">
        <f>Бюд.р.!H408</f>
        <v>150</v>
      </c>
      <c r="J115" s="1622">
        <f>I115*1.05</f>
        <v>157.5</v>
      </c>
      <c r="K115" s="1623">
        <f>J115*1.05</f>
        <v>165.375</v>
      </c>
    </row>
    <row r="116" spans="1:11" ht="22.5" x14ac:dyDescent="0.2">
      <c r="A116" s="1485" t="s">
        <v>1086</v>
      </c>
      <c r="B116" s="1582" t="s">
        <v>1159</v>
      </c>
      <c r="C116" s="1369" t="s">
        <v>696</v>
      </c>
      <c r="D116" s="1370" t="s">
        <v>450</v>
      </c>
      <c r="E116" s="1370" t="s">
        <v>796</v>
      </c>
      <c r="F116" s="1701"/>
      <c r="G116" s="1754"/>
      <c r="H116" s="1754"/>
      <c r="I116" s="1735">
        <f>I117+I119+I121</f>
        <v>5277.4509999999991</v>
      </c>
      <c r="J116" s="1640">
        <f>J117+J119+J121</f>
        <v>5541.3235499999992</v>
      </c>
      <c r="K116" s="1641">
        <f>K117+K119+K121</f>
        <v>5818.3897274999999</v>
      </c>
    </row>
    <row r="117" spans="1:11" ht="56.25" x14ac:dyDescent="0.2">
      <c r="A117" s="1409" t="s">
        <v>1087</v>
      </c>
      <c r="B117" s="1453" t="s">
        <v>1160</v>
      </c>
      <c r="C117" s="1344" t="s">
        <v>696</v>
      </c>
      <c r="D117" s="1345" t="s">
        <v>450</v>
      </c>
      <c r="E117" s="1345" t="s">
        <v>797</v>
      </c>
      <c r="F117" s="1700"/>
      <c r="G117" s="1378"/>
      <c r="H117" s="1378"/>
      <c r="I117" s="1724">
        <f>I118</f>
        <v>4133.3819999999996</v>
      </c>
      <c r="J117" s="1620">
        <f>J118</f>
        <v>4340.0510999999997</v>
      </c>
      <c r="K117" s="1621">
        <f>K118</f>
        <v>4557.0536549999997</v>
      </c>
    </row>
    <row r="118" spans="1:11" ht="22.5" x14ac:dyDescent="0.2">
      <c r="A118" s="1405" t="s">
        <v>1088</v>
      </c>
      <c r="B118" s="1449" t="str">
        <f>Бюд.р.!A414</f>
        <v>Прочая закупка товаров, работ и услуг для муниципальных нужд</v>
      </c>
      <c r="C118" s="1310" t="s">
        <v>696</v>
      </c>
      <c r="D118" s="1311" t="s">
        <v>450</v>
      </c>
      <c r="E118" s="1311" t="s">
        <v>797</v>
      </c>
      <c r="F118" s="1682">
        <f>Бюд.р.!F414</f>
        <v>244</v>
      </c>
      <c r="G118" s="1311"/>
      <c r="H118" s="1311"/>
      <c r="I118" s="1725">
        <f>Бюд.р.!H414</f>
        <v>4133.3819999999996</v>
      </c>
      <c r="J118" s="1622">
        <f>I118*1.05</f>
        <v>4340.0510999999997</v>
      </c>
      <c r="K118" s="1623">
        <f>J118*1.05</f>
        <v>4557.0536549999997</v>
      </c>
    </row>
    <row r="119" spans="1:11" ht="33.75" x14ac:dyDescent="0.2">
      <c r="A119" s="1409" t="s">
        <v>1089</v>
      </c>
      <c r="B119" s="1453" t="s">
        <v>1161</v>
      </c>
      <c r="C119" s="1344" t="s">
        <v>696</v>
      </c>
      <c r="D119" s="1345" t="s">
        <v>450</v>
      </c>
      <c r="E119" s="1345" t="s">
        <v>814</v>
      </c>
      <c r="F119" s="1700"/>
      <c r="G119" s="1378"/>
      <c r="H119" s="1378"/>
      <c r="I119" s="1724">
        <f>I120</f>
        <v>1144.069</v>
      </c>
      <c r="J119" s="1620">
        <f>J120</f>
        <v>1201.2724499999999</v>
      </c>
      <c r="K119" s="1621">
        <f>K120</f>
        <v>1261.3360725</v>
      </c>
    </row>
    <row r="120" spans="1:11" ht="22.5" x14ac:dyDescent="0.2">
      <c r="A120" s="1405" t="s">
        <v>1090</v>
      </c>
      <c r="B120" s="1449" t="str">
        <f>Бюд.р.!A422</f>
        <v>Прочая закупка товаров, работ и услуг для муниципальных нужд</v>
      </c>
      <c r="C120" s="1310" t="s">
        <v>696</v>
      </c>
      <c r="D120" s="1311" t="s">
        <v>450</v>
      </c>
      <c r="E120" s="1311" t="s">
        <v>814</v>
      </c>
      <c r="F120" s="1682">
        <f>Бюд.р.!F422</f>
        <v>244</v>
      </c>
      <c r="G120" s="1311"/>
      <c r="H120" s="1311"/>
      <c r="I120" s="1725">
        <f>Бюд.р.!H422</f>
        <v>1144.069</v>
      </c>
      <c r="J120" s="1622">
        <f>I120*1.05</f>
        <v>1201.2724499999999</v>
      </c>
      <c r="K120" s="1623">
        <f>J120*1.05</f>
        <v>1261.3360725</v>
      </c>
    </row>
    <row r="121" spans="1:11" ht="56.25" x14ac:dyDescent="0.2">
      <c r="A121" s="1409" t="s">
        <v>1168</v>
      </c>
      <c r="B121" s="1581" t="s">
        <v>153</v>
      </c>
      <c r="C121" s="1344" t="s">
        <v>696</v>
      </c>
      <c r="D121" s="1345" t="s">
        <v>450</v>
      </c>
      <c r="E121" s="1345" t="s">
        <v>1022</v>
      </c>
      <c r="F121" s="1700"/>
      <c r="G121" s="1378"/>
      <c r="H121" s="1378"/>
      <c r="I121" s="1724">
        <f>I122</f>
        <v>0</v>
      </c>
      <c r="J121" s="1620">
        <f>J122</f>
        <v>0</v>
      </c>
      <c r="K121" s="1621">
        <f>K122</f>
        <v>0</v>
      </c>
    </row>
    <row r="122" spans="1:11" ht="23.25" thickBot="1" x14ac:dyDescent="0.25">
      <c r="A122" s="1405" t="s">
        <v>1169</v>
      </c>
      <c r="B122" s="1449" t="str">
        <f>Бюд.р.!A427</f>
        <v>Прочая закупка товаров, работ и услуг для муниципальных нужд</v>
      </c>
      <c r="C122" s="1310" t="s">
        <v>696</v>
      </c>
      <c r="D122" s="1311" t="s">
        <v>450</v>
      </c>
      <c r="E122" s="1311" t="s">
        <v>1022</v>
      </c>
      <c r="F122" s="1682">
        <f>Бюд.р.!F427</f>
        <v>244</v>
      </c>
      <c r="G122" s="1311"/>
      <c r="H122" s="1311"/>
      <c r="I122" s="1725">
        <f>Бюд.р.!H427</f>
        <v>0</v>
      </c>
      <c r="J122" s="1622">
        <f>I122*1.05</f>
        <v>0</v>
      </c>
      <c r="K122" s="1623">
        <f>J122*1.05</f>
        <v>0</v>
      </c>
    </row>
    <row r="123" spans="1:11" ht="13.5" thickBot="1" x14ac:dyDescent="0.25">
      <c r="A123" s="1511" t="s">
        <v>742</v>
      </c>
      <c r="B123" s="1571" t="s">
        <v>817</v>
      </c>
      <c r="C123" s="1498" t="s">
        <v>696</v>
      </c>
      <c r="D123" s="1499" t="s">
        <v>818</v>
      </c>
      <c r="E123" s="1512"/>
      <c r="F123" s="1702"/>
      <c r="G123" s="1755"/>
      <c r="H123" s="1755"/>
      <c r="I123" s="1722">
        <f t="shared" ref="I123:K125" si="5">I124</f>
        <v>0</v>
      </c>
      <c r="J123" s="1616">
        <f t="shared" si="5"/>
        <v>0</v>
      </c>
      <c r="K123" s="1617">
        <f t="shared" si="5"/>
        <v>0</v>
      </c>
    </row>
    <row r="124" spans="1:11" ht="22.5" x14ac:dyDescent="0.2">
      <c r="A124" s="1513" t="s">
        <v>426</v>
      </c>
      <c r="B124" s="1572" t="s">
        <v>820</v>
      </c>
      <c r="C124" s="1501" t="s">
        <v>696</v>
      </c>
      <c r="D124" s="1502" t="s">
        <v>819</v>
      </c>
      <c r="E124" s="1509"/>
      <c r="F124" s="1692"/>
      <c r="G124" s="1750"/>
      <c r="H124" s="1750"/>
      <c r="I124" s="1723">
        <f t="shared" si="5"/>
        <v>0</v>
      </c>
      <c r="J124" s="1618">
        <f t="shared" si="5"/>
        <v>0</v>
      </c>
      <c r="K124" s="1619">
        <f t="shared" si="5"/>
        <v>0</v>
      </c>
    </row>
    <row r="125" spans="1:11" ht="45" x14ac:dyDescent="0.2">
      <c r="A125" s="1409" t="s">
        <v>11</v>
      </c>
      <c r="B125" s="1583" t="s">
        <v>821</v>
      </c>
      <c r="C125" s="1344" t="s">
        <v>696</v>
      </c>
      <c r="D125" s="1345" t="s">
        <v>819</v>
      </c>
      <c r="E125" s="1345" t="s">
        <v>822</v>
      </c>
      <c r="F125" s="1703"/>
      <c r="G125" s="1345"/>
      <c r="H125" s="1345"/>
      <c r="I125" s="1724">
        <f t="shared" si="5"/>
        <v>0</v>
      </c>
      <c r="J125" s="1620">
        <f t="shared" si="5"/>
        <v>0</v>
      </c>
      <c r="K125" s="1621">
        <f t="shared" si="5"/>
        <v>0</v>
      </c>
    </row>
    <row r="126" spans="1:11" ht="23.25" thickBot="1" x14ac:dyDescent="0.25">
      <c r="A126" s="1408" t="s">
        <v>12</v>
      </c>
      <c r="B126" s="1449" t="str">
        <f>Бюд.р.!A437</f>
        <v>Прочая закупка товаров, работ и услуг для муниципальных нужд</v>
      </c>
      <c r="C126" s="1361" t="s">
        <v>696</v>
      </c>
      <c r="D126" s="1362" t="s">
        <v>819</v>
      </c>
      <c r="E126" s="1362" t="s">
        <v>822</v>
      </c>
      <c r="F126" s="1695">
        <f>Бюд.р.!F437</f>
        <v>244</v>
      </c>
      <c r="G126" s="1311"/>
      <c r="H126" s="1311"/>
      <c r="I126" s="1734">
        <f>Бюд.р.!H437</f>
        <v>0</v>
      </c>
      <c r="J126" s="1622">
        <f>I126*1.05</f>
        <v>0</v>
      </c>
      <c r="K126" s="1623">
        <f>J126*1.05</f>
        <v>0</v>
      </c>
    </row>
    <row r="127" spans="1:11" ht="13.5" thickBot="1" x14ac:dyDescent="0.25">
      <c r="A127" s="1511" t="s">
        <v>743</v>
      </c>
      <c r="B127" s="1571" t="s">
        <v>290</v>
      </c>
      <c r="C127" s="1498" t="s">
        <v>696</v>
      </c>
      <c r="D127" s="1499" t="s">
        <v>412</v>
      </c>
      <c r="E127" s="1512"/>
      <c r="F127" s="1691"/>
      <c r="G127" s="1749"/>
      <c r="H127" s="1749"/>
      <c r="I127" s="1722">
        <f>I134+I139+I128</f>
        <v>3108.6000000000004</v>
      </c>
      <c r="J127" s="1616">
        <f>J134+J139+J128</f>
        <v>3264.0299999999997</v>
      </c>
      <c r="K127" s="1617">
        <f>K134+K139+K128</f>
        <v>3427.2315000000008</v>
      </c>
    </row>
    <row r="128" spans="1:11" ht="45" x14ac:dyDescent="0.2">
      <c r="A128" s="1513" t="s">
        <v>114</v>
      </c>
      <c r="B128" s="1572" t="s">
        <v>1191</v>
      </c>
      <c r="C128" s="1501" t="s">
        <v>696</v>
      </c>
      <c r="D128" s="1502" t="s">
        <v>1192</v>
      </c>
      <c r="E128" s="1509"/>
      <c r="F128" s="1704"/>
      <c r="G128" s="1756"/>
      <c r="H128" s="1756"/>
      <c r="I128" s="1723">
        <f>I129</f>
        <v>255</v>
      </c>
      <c r="J128" s="1618">
        <f>J129</f>
        <v>267.75</v>
      </c>
      <c r="K128" s="1619">
        <f>K129</f>
        <v>281.13750000000005</v>
      </c>
    </row>
    <row r="129" spans="1:11" ht="112.5" x14ac:dyDescent="0.2">
      <c r="A129" s="1409" t="s">
        <v>115</v>
      </c>
      <c r="B129" s="1573" t="s">
        <v>1199</v>
      </c>
      <c r="C129" s="1344" t="s">
        <v>696</v>
      </c>
      <c r="D129" s="1345" t="s">
        <v>1192</v>
      </c>
      <c r="E129" s="1345" t="str">
        <f>Бюд.р.!D443</f>
        <v>428 01 00</v>
      </c>
      <c r="F129" s="1681"/>
      <c r="G129" s="1345"/>
      <c r="H129" s="1345"/>
      <c r="I129" s="1724">
        <f>I130+I132</f>
        <v>255</v>
      </c>
      <c r="J129" s="1620">
        <f>J130+J132</f>
        <v>267.75</v>
      </c>
      <c r="K129" s="1621">
        <f>K130+K132</f>
        <v>281.13750000000005</v>
      </c>
    </row>
    <row r="130" spans="1:11" ht="78.75" x14ac:dyDescent="0.2">
      <c r="A130" s="1528" t="s">
        <v>116</v>
      </c>
      <c r="B130" s="1573" t="s">
        <v>1202</v>
      </c>
      <c r="C130" s="1344" t="s">
        <v>696</v>
      </c>
      <c r="D130" s="1345" t="s">
        <v>1192</v>
      </c>
      <c r="E130" s="1345" t="str">
        <f>E131</f>
        <v>428 01 01</v>
      </c>
      <c r="F130" s="1681"/>
      <c r="G130" s="1345"/>
      <c r="H130" s="1345"/>
      <c r="I130" s="1724">
        <f>I131</f>
        <v>17</v>
      </c>
      <c r="J130" s="1620">
        <f>J131</f>
        <v>17.850000000000001</v>
      </c>
      <c r="K130" s="1621">
        <f>K131</f>
        <v>18.742500000000003</v>
      </c>
    </row>
    <row r="131" spans="1:11" ht="22.5" x14ac:dyDescent="0.2">
      <c r="A131" s="1405" t="s">
        <v>1238</v>
      </c>
      <c r="B131" s="1449" t="str">
        <f>Бюд.р.!A446</f>
        <v>Прочая закупка товаров, работ и услуг для муниципальных нужд</v>
      </c>
      <c r="C131" s="1310" t="s">
        <v>696</v>
      </c>
      <c r="D131" s="1311">
        <v>705</v>
      </c>
      <c r="E131" s="1311" t="str">
        <f>Бюд.р.!D446</f>
        <v>428 01 01</v>
      </c>
      <c r="F131" s="1682">
        <f>Бюд.р.!F446</f>
        <v>244</v>
      </c>
      <c r="G131" s="1311"/>
      <c r="H131" s="1311"/>
      <c r="I131" s="1725">
        <f>Бюд.р.!H446</f>
        <v>17</v>
      </c>
      <c r="J131" s="1622">
        <f>I131*1.05</f>
        <v>17.850000000000001</v>
      </c>
      <c r="K131" s="1623">
        <f>J131*1.05</f>
        <v>18.742500000000003</v>
      </c>
    </row>
    <row r="132" spans="1:11" ht="45" x14ac:dyDescent="0.2">
      <c r="A132" s="1529" t="s">
        <v>1239</v>
      </c>
      <c r="B132" s="1453" t="s">
        <v>1203</v>
      </c>
      <c r="C132" s="1344" t="s">
        <v>696</v>
      </c>
      <c r="D132" s="1345" t="s">
        <v>1192</v>
      </c>
      <c r="E132" s="1345" t="str">
        <f>E133</f>
        <v>428 01 02</v>
      </c>
      <c r="F132" s="1681"/>
      <c r="G132" s="1345"/>
      <c r="H132" s="1345"/>
      <c r="I132" s="1724">
        <f>I133</f>
        <v>238</v>
      </c>
      <c r="J132" s="1620">
        <f>J133</f>
        <v>249.9</v>
      </c>
      <c r="K132" s="1621">
        <f>K133</f>
        <v>262.39500000000004</v>
      </c>
    </row>
    <row r="133" spans="1:11" ht="22.5" x14ac:dyDescent="0.2">
      <c r="A133" s="1405" t="s">
        <v>1240</v>
      </c>
      <c r="B133" s="1449" t="str">
        <f>Бюд.р.!A451</f>
        <v>Прочая закупка товаров, работ и услуг для муниципальных нужд</v>
      </c>
      <c r="C133" s="1310" t="s">
        <v>696</v>
      </c>
      <c r="D133" s="1311">
        <v>705</v>
      </c>
      <c r="E133" s="1311" t="str">
        <f>Бюд.р.!D451</f>
        <v>428 01 02</v>
      </c>
      <c r="F133" s="1682">
        <f>Бюд.р.!F451</f>
        <v>244</v>
      </c>
      <c r="G133" s="1311"/>
      <c r="H133" s="1311"/>
      <c r="I133" s="1725">
        <f>Бюд.р.!H451</f>
        <v>238</v>
      </c>
      <c r="J133" s="1622">
        <f>I133*1.05</f>
        <v>249.9</v>
      </c>
      <c r="K133" s="1623">
        <f>J133*1.05</f>
        <v>262.39500000000004</v>
      </c>
    </row>
    <row r="134" spans="1:11" ht="22.5" x14ac:dyDescent="0.2">
      <c r="A134" s="1513" t="s">
        <v>5</v>
      </c>
      <c r="B134" s="1572" t="s">
        <v>411</v>
      </c>
      <c r="C134" s="1501" t="s">
        <v>696</v>
      </c>
      <c r="D134" s="1502" t="s">
        <v>413</v>
      </c>
      <c r="E134" s="1509"/>
      <c r="F134" s="1704"/>
      <c r="G134" s="1756"/>
      <c r="H134" s="1756"/>
      <c r="I134" s="1723">
        <f>I135+I137</f>
        <v>2717.1000000000004</v>
      </c>
      <c r="J134" s="1618">
        <f>J135+J137</f>
        <v>2852.9549999999999</v>
      </c>
      <c r="K134" s="1619">
        <f>K135+K137</f>
        <v>2995.6027500000005</v>
      </c>
    </row>
    <row r="135" spans="1:11" ht="45" x14ac:dyDescent="0.2">
      <c r="A135" s="1409" t="s">
        <v>6</v>
      </c>
      <c r="B135" s="1573" t="s">
        <v>1230</v>
      </c>
      <c r="C135" s="1344" t="s">
        <v>696</v>
      </c>
      <c r="D135" s="1345" t="s">
        <v>413</v>
      </c>
      <c r="E135" s="1345" t="s">
        <v>275</v>
      </c>
      <c r="F135" s="1681"/>
      <c r="G135" s="1345"/>
      <c r="H135" s="1345"/>
      <c r="I135" s="1724">
        <f>I136</f>
        <v>1106.2</v>
      </c>
      <c r="J135" s="1620">
        <f>J136</f>
        <v>1161.51</v>
      </c>
      <c r="K135" s="1621">
        <f>K136</f>
        <v>1219.5855000000001</v>
      </c>
    </row>
    <row r="136" spans="1:11" ht="22.5" x14ac:dyDescent="0.2">
      <c r="A136" s="1405" t="s">
        <v>7</v>
      </c>
      <c r="B136" s="1449" t="str">
        <f>Бюд.р.!A468</f>
        <v>Прочая закупка товаров, работ и услуг для муниципальных нужд</v>
      </c>
      <c r="C136" s="1310" t="s">
        <v>696</v>
      </c>
      <c r="D136" s="1311" t="s">
        <v>413</v>
      </c>
      <c r="E136" s="1311" t="s">
        <v>275</v>
      </c>
      <c r="F136" s="1682">
        <f>Бюд.р.!F468</f>
        <v>244</v>
      </c>
      <c r="G136" s="1311"/>
      <c r="H136" s="1311"/>
      <c r="I136" s="1725">
        <f>Бюд.р.!H468</f>
        <v>1106.2</v>
      </c>
      <c r="J136" s="1622">
        <f>I136*1.05</f>
        <v>1161.51</v>
      </c>
      <c r="K136" s="1623">
        <f>J136*1.05</f>
        <v>1219.5855000000001</v>
      </c>
    </row>
    <row r="137" spans="1:11" ht="67.5" x14ac:dyDescent="0.2">
      <c r="A137" s="1409" t="s">
        <v>1102</v>
      </c>
      <c r="B137" s="1573" t="s">
        <v>415</v>
      </c>
      <c r="C137" s="1344" t="s">
        <v>696</v>
      </c>
      <c r="D137" s="1345" t="s">
        <v>413</v>
      </c>
      <c r="E137" s="1345" t="s">
        <v>276</v>
      </c>
      <c r="F137" s="1681"/>
      <c r="G137" s="1345"/>
      <c r="H137" s="1345"/>
      <c r="I137" s="1724">
        <f>I138</f>
        <v>1610.9</v>
      </c>
      <c r="J137" s="1620">
        <f>J138</f>
        <v>1691.4450000000002</v>
      </c>
      <c r="K137" s="1621">
        <f>K138</f>
        <v>1776.0172500000003</v>
      </c>
    </row>
    <row r="138" spans="1:11" ht="22.5" x14ac:dyDescent="0.2">
      <c r="A138" s="1405" t="s">
        <v>1103</v>
      </c>
      <c r="B138" s="1449" t="str">
        <f>Бюд.р.!A476</f>
        <v>Прочая закупка товаров, работ и услуг для муниципальных нужд</v>
      </c>
      <c r="C138" s="1310" t="s">
        <v>696</v>
      </c>
      <c r="D138" s="1311" t="s">
        <v>413</v>
      </c>
      <c r="E138" s="1311" t="s">
        <v>276</v>
      </c>
      <c r="F138" s="1682">
        <f>Бюд.р.!F476</f>
        <v>244</v>
      </c>
      <c r="G138" s="1311"/>
      <c r="H138" s="1311"/>
      <c r="I138" s="1725">
        <f>Бюд.р.!H476</f>
        <v>1610.9</v>
      </c>
      <c r="J138" s="1622">
        <f>I138*1.05</f>
        <v>1691.4450000000002</v>
      </c>
      <c r="K138" s="1623">
        <f>J138*1.05</f>
        <v>1776.0172500000003</v>
      </c>
    </row>
    <row r="139" spans="1:11" ht="22.5" x14ac:dyDescent="0.2">
      <c r="A139" s="1514" t="s">
        <v>583</v>
      </c>
      <c r="B139" s="1584" t="s">
        <v>14</v>
      </c>
      <c r="C139" s="1504" t="s">
        <v>696</v>
      </c>
      <c r="D139" s="1505" t="s">
        <v>18</v>
      </c>
      <c r="E139" s="1509"/>
      <c r="F139" s="1705"/>
      <c r="G139" s="1756"/>
      <c r="H139" s="1756"/>
      <c r="I139" s="1726">
        <f>I140+I142</f>
        <v>136.5</v>
      </c>
      <c r="J139" s="1624">
        <f>J140+J142</f>
        <v>143.32499999999999</v>
      </c>
      <c r="K139" s="1625">
        <f>K140+K142</f>
        <v>150.49125000000001</v>
      </c>
    </row>
    <row r="140" spans="1:11" ht="56.25" x14ac:dyDescent="0.2">
      <c r="A140" s="1409" t="s">
        <v>586</v>
      </c>
      <c r="B140" s="1453" t="s">
        <v>1144</v>
      </c>
      <c r="C140" s="1344" t="s">
        <v>696</v>
      </c>
      <c r="D140" s="1345" t="s">
        <v>18</v>
      </c>
      <c r="E140" s="1345" t="s">
        <v>463</v>
      </c>
      <c r="F140" s="1681"/>
      <c r="G140" s="1345"/>
      <c r="H140" s="1345"/>
      <c r="I140" s="1724">
        <f>I141</f>
        <v>30</v>
      </c>
      <c r="J140" s="1620">
        <f>J141</f>
        <v>31.5</v>
      </c>
      <c r="K140" s="1621">
        <f>K141</f>
        <v>33.075000000000003</v>
      </c>
    </row>
    <row r="141" spans="1:11" ht="22.5" x14ac:dyDescent="0.2">
      <c r="A141" s="1408" t="s">
        <v>587</v>
      </c>
      <c r="B141" s="1449" t="str">
        <f>Бюд.р.!A493</f>
        <v>Прочая закупка товаров, работ и услуг для муниципальных нужд</v>
      </c>
      <c r="C141" s="1361" t="s">
        <v>696</v>
      </c>
      <c r="D141" s="1362" t="s">
        <v>18</v>
      </c>
      <c r="E141" s="1362" t="s">
        <v>463</v>
      </c>
      <c r="F141" s="1695">
        <f>Бюд.р.!F493</f>
        <v>244</v>
      </c>
      <c r="G141" s="1311"/>
      <c r="H141" s="1311"/>
      <c r="I141" s="1734">
        <f>Бюд.р.!H493</f>
        <v>30</v>
      </c>
      <c r="J141" s="1622">
        <f>I141*1.05</f>
        <v>31.5</v>
      </c>
      <c r="K141" s="1623">
        <f>J141*1.05</f>
        <v>33.075000000000003</v>
      </c>
    </row>
    <row r="142" spans="1:11" ht="45" x14ac:dyDescent="0.2">
      <c r="A142" s="1409" t="s">
        <v>1036</v>
      </c>
      <c r="B142" s="1453" t="s">
        <v>1146</v>
      </c>
      <c r="C142" s="1344" t="s">
        <v>696</v>
      </c>
      <c r="D142" s="1345" t="s">
        <v>18</v>
      </c>
      <c r="E142" s="1345" t="s">
        <v>163</v>
      </c>
      <c r="F142" s="1681"/>
      <c r="G142" s="1345"/>
      <c r="H142" s="1345"/>
      <c r="I142" s="1724">
        <f>I143</f>
        <v>106.5</v>
      </c>
      <c r="J142" s="1620">
        <f>J143</f>
        <v>111.825</v>
      </c>
      <c r="K142" s="1621">
        <f>K143</f>
        <v>117.41625000000001</v>
      </c>
    </row>
    <row r="143" spans="1:11" ht="23.25" thickBot="1" x14ac:dyDescent="0.25">
      <c r="A143" s="1408" t="s">
        <v>1037</v>
      </c>
      <c r="B143" s="1449" t="str">
        <f>Бюд.р.!A502</f>
        <v>Прочая закупка товаров, работ и услуг для муниципальных нужд</v>
      </c>
      <c r="C143" s="1361" t="s">
        <v>696</v>
      </c>
      <c r="D143" s="1362" t="s">
        <v>18</v>
      </c>
      <c r="E143" s="1362" t="s">
        <v>163</v>
      </c>
      <c r="F143" s="1695">
        <f>Бюд.р.!F502</f>
        <v>244</v>
      </c>
      <c r="G143" s="1311"/>
      <c r="H143" s="1311"/>
      <c r="I143" s="1734">
        <f>Бюд.р.!H502</f>
        <v>106.5</v>
      </c>
      <c r="J143" s="1622">
        <f>I143*1.05</f>
        <v>111.825</v>
      </c>
      <c r="K143" s="1623">
        <f>J143*1.05</f>
        <v>117.41625000000001</v>
      </c>
    </row>
    <row r="144" spans="1:11" ht="13.5" thickBot="1" x14ac:dyDescent="0.25">
      <c r="A144" s="1511" t="s">
        <v>520</v>
      </c>
      <c r="B144" s="1571" t="s">
        <v>1039</v>
      </c>
      <c r="C144" s="1498" t="s">
        <v>696</v>
      </c>
      <c r="D144" s="1499" t="s">
        <v>416</v>
      </c>
      <c r="E144" s="1515"/>
      <c r="F144" s="1706"/>
      <c r="G144" s="1757"/>
      <c r="H144" s="1757"/>
      <c r="I144" s="1722" t="e">
        <f>I145</f>
        <v>#REF!</v>
      </c>
      <c r="J144" s="1616" t="e">
        <f>J145</f>
        <v>#REF!</v>
      </c>
      <c r="K144" s="1617" t="e">
        <f>K145</f>
        <v>#REF!</v>
      </c>
    </row>
    <row r="145" spans="1:11" x14ac:dyDescent="0.2">
      <c r="A145" s="1513" t="s">
        <v>584</v>
      </c>
      <c r="B145" s="1572" t="s">
        <v>772</v>
      </c>
      <c r="C145" s="1501" t="s">
        <v>696</v>
      </c>
      <c r="D145" s="1502" t="s">
        <v>417</v>
      </c>
      <c r="E145" s="1516"/>
      <c r="F145" s="1707"/>
      <c r="G145" s="1506"/>
      <c r="H145" s="1506"/>
      <c r="I145" s="1723" t="e">
        <f>I146+I148</f>
        <v>#REF!</v>
      </c>
      <c r="J145" s="1618" t="e">
        <f>J146+J148</f>
        <v>#REF!</v>
      </c>
      <c r="K145" s="1619" t="e">
        <f>K146+K148</f>
        <v>#REF!</v>
      </c>
    </row>
    <row r="146" spans="1:11" ht="56.25" x14ac:dyDescent="0.2">
      <c r="A146" s="1409" t="s">
        <v>588</v>
      </c>
      <c r="B146" s="1581" t="s">
        <v>1171</v>
      </c>
      <c r="C146" s="1344" t="s">
        <v>696</v>
      </c>
      <c r="D146" s="1378" t="s">
        <v>417</v>
      </c>
      <c r="E146" s="1378" t="s">
        <v>1170</v>
      </c>
      <c r="F146" s="1708"/>
      <c r="G146" s="1378"/>
      <c r="H146" s="1378"/>
      <c r="I146" s="1724">
        <f>I147</f>
        <v>10081.829</v>
      </c>
      <c r="J146" s="1620">
        <f>J147</f>
        <v>10585.92045</v>
      </c>
      <c r="K146" s="1621">
        <f>K147</f>
        <v>11115.2164725</v>
      </c>
    </row>
    <row r="147" spans="1:11" ht="22.5" x14ac:dyDescent="0.2">
      <c r="A147" s="1408" t="s">
        <v>589</v>
      </c>
      <c r="B147" s="1449" t="str">
        <f>Бюд.р.!A510</f>
        <v>Прочая закупка товаров, работ и услуг для муниципальных нужд</v>
      </c>
      <c r="C147" s="1310" t="s">
        <v>696</v>
      </c>
      <c r="D147" s="1311" t="s">
        <v>417</v>
      </c>
      <c r="E147" s="1311" t="s">
        <v>1170</v>
      </c>
      <c r="F147" s="1682">
        <f>Бюд.р.!F510</f>
        <v>244</v>
      </c>
      <c r="G147" s="1311"/>
      <c r="H147" s="1311"/>
      <c r="I147" s="1725">
        <f>Бюд.р.!H510</f>
        <v>10081.829</v>
      </c>
      <c r="J147" s="1622">
        <f>I147*1.05</f>
        <v>10585.92045</v>
      </c>
      <c r="K147" s="1623">
        <f>J147*1.05</f>
        <v>11115.2164725</v>
      </c>
    </row>
    <row r="148" spans="1:11" ht="45" x14ac:dyDescent="0.2">
      <c r="A148" s="1409" t="s">
        <v>1093</v>
      </c>
      <c r="B148" s="1453" t="s">
        <v>1027</v>
      </c>
      <c r="C148" s="1372">
        <v>968</v>
      </c>
      <c r="D148" s="1348">
        <v>801</v>
      </c>
      <c r="E148" s="1348" t="str">
        <f>E149</f>
        <v>440 01 02</v>
      </c>
      <c r="F148" s="1535"/>
      <c r="G148" s="1348"/>
      <c r="H148" s="1348"/>
      <c r="I148" s="1724" t="e">
        <f>I149</f>
        <v>#REF!</v>
      </c>
      <c r="J148" s="1620" t="e">
        <f>J149</f>
        <v>#REF!</v>
      </c>
      <c r="K148" s="1621" t="e">
        <f>K149</f>
        <v>#REF!</v>
      </c>
    </row>
    <row r="149" spans="1:11" ht="13.5" thickBot="1" x14ac:dyDescent="0.25">
      <c r="A149" s="1408" t="s">
        <v>1094</v>
      </c>
      <c r="B149" s="1449" t="e">
        <f>Бюд.р.!#REF!</f>
        <v>#REF!</v>
      </c>
      <c r="C149" s="1474">
        <v>968</v>
      </c>
      <c r="D149" s="1340">
        <v>801</v>
      </c>
      <c r="E149" s="1340" t="s">
        <v>1172</v>
      </c>
      <c r="F149" s="1685" t="e">
        <f>Бюд.р.!#REF!</f>
        <v>#REF!</v>
      </c>
      <c r="G149" s="1333"/>
      <c r="H149" s="1333"/>
      <c r="I149" s="1728" t="e">
        <f>Бюд.р.!#REF!</f>
        <v>#REF!</v>
      </c>
      <c r="J149" s="1622" t="e">
        <f>I149*1.05</f>
        <v>#REF!</v>
      </c>
      <c r="K149" s="1623" t="e">
        <f>J149*1.05</f>
        <v>#REF!</v>
      </c>
    </row>
    <row r="150" spans="1:11" ht="13.5" thickBot="1" x14ac:dyDescent="0.25">
      <c r="A150" s="1511" t="s">
        <v>154</v>
      </c>
      <c r="B150" s="1585" t="s">
        <v>291</v>
      </c>
      <c r="C150" s="1498" t="s">
        <v>696</v>
      </c>
      <c r="D150" s="1515" t="s">
        <v>346</v>
      </c>
      <c r="E150" s="1515"/>
      <c r="F150" s="1706"/>
      <c r="G150" s="1757"/>
      <c r="H150" s="1757"/>
      <c r="I150" s="1722">
        <f>I151+I154</f>
        <v>16656.915999999997</v>
      </c>
      <c r="J150" s="1616">
        <f>J151+J154</f>
        <v>14791.800000000001</v>
      </c>
      <c r="K150" s="1617">
        <f>K151+K154</f>
        <v>15711.8</v>
      </c>
    </row>
    <row r="151" spans="1:11" ht="22.5" x14ac:dyDescent="0.2">
      <c r="A151" s="1514" t="s">
        <v>38</v>
      </c>
      <c r="B151" s="1575" t="s">
        <v>1097</v>
      </c>
      <c r="C151" s="1504" t="s">
        <v>696</v>
      </c>
      <c r="D151" s="1506" t="s">
        <v>1101</v>
      </c>
      <c r="E151" s="1506"/>
      <c r="F151" s="1688"/>
      <c r="G151" s="1506"/>
      <c r="H151" s="1506"/>
      <c r="I151" s="1726">
        <f t="shared" ref="I151:K152" si="6">I152</f>
        <v>970.2</v>
      </c>
      <c r="J151" s="1624">
        <f t="shared" si="6"/>
        <v>556.6</v>
      </c>
      <c r="K151" s="1625">
        <f t="shared" si="6"/>
        <v>584.4</v>
      </c>
    </row>
    <row r="152" spans="1:11" ht="67.5" x14ac:dyDescent="0.2">
      <c r="A152" s="1409" t="s">
        <v>42</v>
      </c>
      <c r="B152" s="1453" t="str">
        <f>Бюд.р.!A530</f>
        <v>РАСХОДЫ НА ПРЕДОСТАВЛЕНИЕ ДОПЛАТ К ПЕНСИИ ЛИЦАМ, ЗАМЕЩАВШИМ МУНИЦИПАЛЬНЫЕ ДОЛЖНОСТИ И ДОЛЖНОСТИ МУНИЦИПАЛЬНОЙ СЛУЖБЫ</v>
      </c>
      <c r="C152" s="1344" t="s">
        <v>696</v>
      </c>
      <c r="D152" s="1378" t="s">
        <v>1101</v>
      </c>
      <c r="E152" s="1348" t="s">
        <v>1099</v>
      </c>
      <c r="F152" s="1535"/>
      <c r="G152" s="1348"/>
      <c r="H152" s="1348"/>
      <c r="I152" s="1724">
        <f t="shared" si="6"/>
        <v>970.2</v>
      </c>
      <c r="J152" s="1620">
        <f t="shared" si="6"/>
        <v>556.6</v>
      </c>
      <c r="K152" s="1621">
        <f t="shared" si="6"/>
        <v>584.4</v>
      </c>
    </row>
    <row r="153" spans="1:11" ht="45" x14ac:dyDescent="0.2">
      <c r="A153" s="1405" t="s">
        <v>43</v>
      </c>
      <c r="B153" s="1492" t="s">
        <v>1197</v>
      </c>
      <c r="C153" s="1310" t="s">
        <v>696</v>
      </c>
      <c r="D153" s="1381" t="s">
        <v>1101</v>
      </c>
      <c r="E153" s="1539" t="s">
        <v>1099</v>
      </c>
      <c r="F153" s="1684">
        <v>314</v>
      </c>
      <c r="G153" s="1491"/>
      <c r="H153" s="1491"/>
      <c r="I153" s="1725">
        <f>Бюд.р.!H532</f>
        <v>970.2</v>
      </c>
      <c r="J153" s="1622">
        <v>556.6</v>
      </c>
      <c r="K153" s="1623">
        <v>584.4</v>
      </c>
    </row>
    <row r="154" spans="1:11" x14ac:dyDescent="0.2">
      <c r="A154" s="1514" t="s">
        <v>86</v>
      </c>
      <c r="B154" s="1575" t="s">
        <v>779</v>
      </c>
      <c r="C154" s="1504" t="s">
        <v>696</v>
      </c>
      <c r="D154" s="1506" t="s">
        <v>922</v>
      </c>
      <c r="E154" s="1506"/>
      <c r="F154" s="1688"/>
      <c r="G154" s="1506"/>
      <c r="H154" s="1506"/>
      <c r="I154" s="1726">
        <f>I155+I157+I159</f>
        <v>15686.715999999999</v>
      </c>
      <c r="J154" s="1624">
        <f>J155+J157+J159</f>
        <v>14235.2</v>
      </c>
      <c r="K154" s="1625">
        <f>K155+K157+K159</f>
        <v>15127.4</v>
      </c>
    </row>
    <row r="155" spans="1:11" ht="45" x14ac:dyDescent="0.2">
      <c r="A155" s="1409" t="s">
        <v>87</v>
      </c>
      <c r="B155" s="1453" t="s">
        <v>73</v>
      </c>
      <c r="C155" s="1344" t="s">
        <v>696</v>
      </c>
      <c r="D155" s="1378" t="s">
        <v>922</v>
      </c>
      <c r="E155" s="1348" t="s">
        <v>71</v>
      </c>
      <c r="F155" s="1535"/>
      <c r="G155" s="1348"/>
      <c r="H155" s="1348"/>
      <c r="I155" s="1724">
        <f>I156</f>
        <v>3469.0160000000001</v>
      </c>
      <c r="J155" s="1620">
        <f>J156</f>
        <v>3628.3</v>
      </c>
      <c r="K155" s="1621">
        <f>K156</f>
        <v>3863.9</v>
      </c>
    </row>
    <row r="156" spans="1:11" ht="45" x14ac:dyDescent="0.2">
      <c r="A156" s="1405" t="s">
        <v>88</v>
      </c>
      <c r="B156" s="1449" t="s">
        <v>885</v>
      </c>
      <c r="C156" s="1310" t="s">
        <v>696</v>
      </c>
      <c r="D156" s="1381" t="s">
        <v>922</v>
      </c>
      <c r="E156" s="1382" t="s">
        <v>71</v>
      </c>
      <c r="F156" s="1538">
        <v>598</v>
      </c>
      <c r="G156" s="1333"/>
      <c r="H156" s="1333"/>
      <c r="I156" s="1727">
        <f>Бюд.р.!H538</f>
        <v>3469.0160000000001</v>
      </c>
      <c r="J156" s="1622">
        <f>J14</f>
        <v>3628.3</v>
      </c>
      <c r="K156" s="1623">
        <f>K14</f>
        <v>3863.9</v>
      </c>
    </row>
    <row r="157" spans="1:11" ht="22.5" x14ac:dyDescent="0.2">
      <c r="A157" s="1409" t="s">
        <v>1234</v>
      </c>
      <c r="B157" s="1573" t="s">
        <v>59</v>
      </c>
      <c r="C157" s="1344" t="s">
        <v>696</v>
      </c>
      <c r="D157" s="1378" t="s">
        <v>922</v>
      </c>
      <c r="E157" s="1378" t="s">
        <v>60</v>
      </c>
      <c r="F157" s="1708"/>
      <c r="G157" s="1378"/>
      <c r="H157" s="1378"/>
      <c r="I157" s="1724">
        <f>I158</f>
        <v>9259.7999999999993</v>
      </c>
      <c r="J157" s="1620">
        <f>J158</f>
        <v>8312.4</v>
      </c>
      <c r="K157" s="1621">
        <f>K158</f>
        <v>8820</v>
      </c>
    </row>
    <row r="158" spans="1:11" ht="45" x14ac:dyDescent="0.2">
      <c r="A158" s="1408" t="s">
        <v>1235</v>
      </c>
      <c r="B158" s="1574" t="s">
        <v>885</v>
      </c>
      <c r="C158" s="1310" t="s">
        <v>696</v>
      </c>
      <c r="D158" s="1381" t="s">
        <v>922</v>
      </c>
      <c r="E158" s="1377" t="s">
        <v>60</v>
      </c>
      <c r="F158" s="1709">
        <v>598</v>
      </c>
      <c r="G158" s="1381"/>
      <c r="H158" s="1381"/>
      <c r="I158" s="1725">
        <f>Бюд.р.!H559</f>
        <v>9259.7999999999993</v>
      </c>
      <c r="J158" s="1622">
        <f>J16</f>
        <v>8312.4</v>
      </c>
      <c r="K158" s="1623">
        <f>K16</f>
        <v>8820</v>
      </c>
    </row>
    <row r="159" spans="1:11" ht="33.75" x14ac:dyDescent="0.2">
      <c r="A159" s="1409" t="s">
        <v>1236</v>
      </c>
      <c r="B159" s="1573" t="s">
        <v>635</v>
      </c>
      <c r="C159" s="1344" t="s">
        <v>696</v>
      </c>
      <c r="D159" s="1378" t="s">
        <v>922</v>
      </c>
      <c r="E159" s="1378" t="s">
        <v>61</v>
      </c>
      <c r="F159" s="1708"/>
      <c r="G159" s="1378"/>
      <c r="H159" s="1378"/>
      <c r="I159" s="1724">
        <f>I160</f>
        <v>2957.9</v>
      </c>
      <c r="J159" s="1620">
        <f>J160</f>
        <v>2294.5</v>
      </c>
      <c r="K159" s="1621">
        <f>K160</f>
        <v>2443.5</v>
      </c>
    </row>
    <row r="160" spans="1:11" ht="45.75" thickBot="1" x14ac:dyDescent="0.25">
      <c r="A160" s="1408" t="s">
        <v>1237</v>
      </c>
      <c r="B160" s="1586" t="s">
        <v>885</v>
      </c>
      <c r="C160" s="1361" t="s">
        <v>696</v>
      </c>
      <c r="D160" s="1384" t="s">
        <v>922</v>
      </c>
      <c r="E160" s="1385" t="s">
        <v>61</v>
      </c>
      <c r="F160" s="1710">
        <v>598</v>
      </c>
      <c r="G160" s="1381"/>
      <c r="H160" s="1381"/>
      <c r="I160" s="1734">
        <f>Бюд.р.!H564</f>
        <v>2957.9</v>
      </c>
      <c r="J160" s="1622">
        <f>J17</f>
        <v>2294.5</v>
      </c>
      <c r="K160" s="1623">
        <f>K17</f>
        <v>2443.5</v>
      </c>
    </row>
    <row r="161" spans="1:11" ht="57" thickBot="1" x14ac:dyDescent="0.25">
      <c r="A161" s="1411"/>
      <c r="B161" s="1587" t="s">
        <v>984</v>
      </c>
      <c r="C161" s="1517" t="s">
        <v>985</v>
      </c>
      <c r="D161" s="1388"/>
      <c r="E161" s="1389"/>
      <c r="F161" s="1711"/>
      <c r="G161" s="1381"/>
      <c r="H161" s="1381"/>
      <c r="I161" s="1736">
        <f>I162</f>
        <v>0</v>
      </c>
      <c r="J161" s="1626"/>
      <c r="K161" s="1627"/>
    </row>
    <row r="162" spans="1:11" ht="22.5" x14ac:dyDescent="0.2">
      <c r="A162" s="1518" t="s">
        <v>738</v>
      </c>
      <c r="B162" s="1588" t="s">
        <v>122</v>
      </c>
      <c r="C162" s="1519" t="s">
        <v>985</v>
      </c>
      <c r="D162" s="1520" t="s">
        <v>511</v>
      </c>
      <c r="E162" s="1520"/>
      <c r="F162" s="1712"/>
      <c r="G162" s="1758"/>
      <c r="H162" s="1758"/>
      <c r="I162" s="1737">
        <f>I163</f>
        <v>0</v>
      </c>
      <c r="J162" s="1626"/>
      <c r="K162" s="1627"/>
    </row>
    <row r="163" spans="1:11" ht="22.5" x14ac:dyDescent="0.2">
      <c r="A163" s="1514" t="s">
        <v>86</v>
      </c>
      <c r="B163" s="1578" t="s">
        <v>28</v>
      </c>
      <c r="C163" s="1504">
        <v>917</v>
      </c>
      <c r="D163" s="1505" t="s">
        <v>590</v>
      </c>
      <c r="E163" s="1390"/>
      <c r="F163" s="1713"/>
      <c r="G163" s="1759"/>
      <c r="H163" s="1759"/>
      <c r="I163" s="1726">
        <f>I164</f>
        <v>0</v>
      </c>
      <c r="J163" s="1626"/>
      <c r="K163" s="1627"/>
    </row>
    <row r="164" spans="1:11" ht="33.75" x14ac:dyDescent="0.2">
      <c r="A164" s="1409" t="s">
        <v>87</v>
      </c>
      <c r="B164" s="1453" t="s">
        <v>161</v>
      </c>
      <c r="C164" s="1372">
        <v>917</v>
      </c>
      <c r="D164" s="1348" t="s">
        <v>590</v>
      </c>
      <c r="E164" s="1348" t="s">
        <v>162</v>
      </c>
      <c r="F164" s="1709"/>
      <c r="G164" s="1381"/>
      <c r="H164" s="1381"/>
      <c r="I164" s="1724">
        <f>I165</f>
        <v>0</v>
      </c>
      <c r="J164" s="1626"/>
      <c r="K164" s="1627"/>
    </row>
    <row r="165" spans="1:11" ht="23.25" thickBot="1" x14ac:dyDescent="0.25">
      <c r="A165" s="1408" t="s">
        <v>88</v>
      </c>
      <c r="B165" s="1589" t="s">
        <v>469</v>
      </c>
      <c r="C165" s="1391">
        <v>917</v>
      </c>
      <c r="D165" s="1392" t="s">
        <v>590</v>
      </c>
      <c r="E165" s="1392" t="s">
        <v>162</v>
      </c>
      <c r="F165" s="1714"/>
      <c r="G165" s="1491"/>
      <c r="H165" s="1491"/>
      <c r="I165" s="1734">
        <v>0</v>
      </c>
      <c r="J165" s="1626"/>
      <c r="K165" s="1627"/>
    </row>
    <row r="166" spans="1:11" ht="23.25" thickBot="1" x14ac:dyDescent="0.25">
      <c r="A166" s="1521" t="s">
        <v>1028</v>
      </c>
      <c r="B166" s="1590" t="s">
        <v>1018</v>
      </c>
      <c r="C166" s="1522">
        <v>968</v>
      </c>
      <c r="D166" s="1523">
        <v>1100</v>
      </c>
      <c r="E166" s="1523"/>
      <c r="F166" s="1715"/>
      <c r="G166" s="1760"/>
      <c r="H166" s="1760"/>
      <c r="I166" s="1738">
        <f t="shared" ref="I166:K168" si="7">I167</f>
        <v>3557.8850000000002</v>
      </c>
      <c r="J166" s="1642">
        <f t="shared" si="7"/>
        <v>3735.7792500000005</v>
      </c>
      <c r="K166" s="1643">
        <f t="shared" si="7"/>
        <v>3922.5682125000008</v>
      </c>
    </row>
    <row r="167" spans="1:11" x14ac:dyDescent="0.2">
      <c r="A167" s="1533" t="s">
        <v>1104</v>
      </c>
      <c r="B167" s="1591" t="s">
        <v>1019</v>
      </c>
      <c r="C167" s="1524">
        <v>968</v>
      </c>
      <c r="D167" s="1525">
        <v>1102</v>
      </c>
      <c r="E167" s="1525"/>
      <c r="F167" s="1534"/>
      <c r="G167" s="1761"/>
      <c r="H167" s="1761"/>
      <c r="I167" s="1739">
        <f t="shared" si="7"/>
        <v>3557.8850000000002</v>
      </c>
      <c r="J167" s="1644">
        <f t="shared" si="7"/>
        <v>3735.7792500000005</v>
      </c>
      <c r="K167" s="1645">
        <f t="shared" si="7"/>
        <v>3922.5682125000008</v>
      </c>
    </row>
    <row r="168" spans="1:11" ht="67.5" x14ac:dyDescent="0.2">
      <c r="A168" s="1409" t="s">
        <v>1105</v>
      </c>
      <c r="B168" s="1453" t="s">
        <v>778</v>
      </c>
      <c r="C168" s="1372">
        <v>968</v>
      </c>
      <c r="D168" s="1348">
        <v>1102</v>
      </c>
      <c r="E168" s="1348" t="str">
        <f>E169</f>
        <v>487 01 00</v>
      </c>
      <c r="F168" s="1535"/>
      <c r="G168" s="1348"/>
      <c r="H168" s="1348"/>
      <c r="I168" s="1724">
        <f t="shared" si="7"/>
        <v>3557.8850000000002</v>
      </c>
      <c r="J168" s="1620">
        <f t="shared" si="7"/>
        <v>3735.7792500000005</v>
      </c>
      <c r="K168" s="1621">
        <f t="shared" si="7"/>
        <v>3922.5682125000008</v>
      </c>
    </row>
    <row r="169" spans="1:11" ht="22.5" x14ac:dyDescent="0.2">
      <c r="A169" s="1405" t="s">
        <v>1106</v>
      </c>
      <c r="B169" s="1592" t="str">
        <f>Бюд.р.!A579</f>
        <v>Иные закупки товаров, работ и услуг для муниципальных нужд</v>
      </c>
      <c r="C169" s="1333">
        <v>968</v>
      </c>
      <c r="D169" s="1333">
        <v>1102</v>
      </c>
      <c r="E169" s="1333" t="s">
        <v>1141</v>
      </c>
      <c r="F169" s="1538">
        <f>Бюд.р.!F579</f>
        <v>240</v>
      </c>
      <c r="G169" s="1333"/>
      <c r="H169" s="1333"/>
      <c r="I169" s="1727">
        <f>SUM(I170:I171)</f>
        <v>3557.8850000000002</v>
      </c>
      <c r="J169" s="1646">
        <f>SUM(J170:J171)</f>
        <v>3735.7792500000005</v>
      </c>
      <c r="K169" s="1647">
        <f>SUM(K170:K171)</f>
        <v>3922.5682125000008</v>
      </c>
    </row>
    <row r="170" spans="1:11" ht="33.75" x14ac:dyDescent="0.2">
      <c r="A170" s="1405" t="s">
        <v>215</v>
      </c>
      <c r="B170" s="1592" t="str">
        <f>Бюд.р.!A580</f>
        <v>Закупка товаров, работ, услуг в сфере информационно-коммуникационных технологий</v>
      </c>
      <c r="C170" s="1333">
        <v>968</v>
      </c>
      <c r="D170" s="1333">
        <v>1102</v>
      </c>
      <c r="E170" s="1333" t="s">
        <v>1141</v>
      </c>
      <c r="F170" s="1538">
        <f>Бюд.р.!F580</f>
        <v>242</v>
      </c>
      <c r="G170" s="1333"/>
      <c r="H170" s="1333"/>
      <c r="I170" s="1727">
        <f>Бюд.р.!H580</f>
        <v>0</v>
      </c>
      <c r="J170" s="1622">
        <f>I170*1.05</f>
        <v>0</v>
      </c>
      <c r="K170" s="1623">
        <f>J170*1.05</f>
        <v>0</v>
      </c>
    </row>
    <row r="171" spans="1:11" ht="23.25" thickBot="1" x14ac:dyDescent="0.25">
      <c r="A171" s="1531" t="s">
        <v>216</v>
      </c>
      <c r="B171" s="1592" t="str">
        <f>Бюд.р.!A583</f>
        <v>Прочая закупка товаров, работ и услуг для муниципальных нужд</v>
      </c>
      <c r="C171" s="1333">
        <v>968</v>
      </c>
      <c r="D171" s="1333">
        <v>1102</v>
      </c>
      <c r="E171" s="1333" t="s">
        <v>1141</v>
      </c>
      <c r="F171" s="1538">
        <f>Бюд.р.!F583</f>
        <v>244</v>
      </c>
      <c r="G171" s="1333"/>
      <c r="H171" s="1333"/>
      <c r="I171" s="1740">
        <f>Бюд.р.!H583</f>
        <v>3557.8850000000002</v>
      </c>
      <c r="J171" s="1622">
        <f>I171*1.05</f>
        <v>3735.7792500000005</v>
      </c>
      <c r="K171" s="1623">
        <f>J171*1.05</f>
        <v>3922.5682125000008</v>
      </c>
    </row>
    <row r="172" spans="1:11" ht="23.25" thickBot="1" x14ac:dyDescent="0.25">
      <c r="A172" s="1532" t="s">
        <v>1029</v>
      </c>
      <c r="B172" s="1593" t="s">
        <v>1020</v>
      </c>
      <c r="C172" s="1536">
        <v>968</v>
      </c>
      <c r="D172" s="1537">
        <v>1200</v>
      </c>
      <c r="E172" s="1537"/>
      <c r="F172" s="1716"/>
      <c r="G172" s="1760"/>
      <c r="H172" s="1760"/>
      <c r="I172" s="1741">
        <f t="shared" ref="I172:K174" si="8">I173</f>
        <v>1800</v>
      </c>
      <c r="J172" s="1648">
        <f t="shared" si="8"/>
        <v>1890</v>
      </c>
      <c r="K172" s="1649">
        <f t="shared" si="8"/>
        <v>1984.5</v>
      </c>
    </row>
    <row r="173" spans="1:11" ht="22.5" x14ac:dyDescent="0.2">
      <c r="A173" s="1486" t="s">
        <v>1194</v>
      </c>
      <c r="B173" s="1594" t="s">
        <v>773</v>
      </c>
      <c r="C173" s="1487">
        <v>968</v>
      </c>
      <c r="D173" s="1488">
        <v>1202</v>
      </c>
      <c r="E173" s="1488"/>
      <c r="F173" s="1717"/>
      <c r="G173" s="1761"/>
      <c r="H173" s="1761"/>
      <c r="I173" s="1742">
        <f t="shared" si="8"/>
        <v>1800</v>
      </c>
      <c r="J173" s="1650">
        <f t="shared" si="8"/>
        <v>1890</v>
      </c>
      <c r="K173" s="1651">
        <f t="shared" si="8"/>
        <v>1984.5</v>
      </c>
    </row>
    <row r="174" spans="1:11" ht="33.75" x14ac:dyDescent="0.2">
      <c r="A174" s="1489" t="s">
        <v>1195</v>
      </c>
      <c r="B174" s="1447" t="s">
        <v>1162</v>
      </c>
      <c r="C174" s="1482">
        <v>968</v>
      </c>
      <c r="D174" s="1483">
        <v>1202</v>
      </c>
      <c r="E174" s="1483" t="s">
        <v>777</v>
      </c>
      <c r="F174" s="1687"/>
      <c r="G174" s="1483"/>
      <c r="H174" s="1483"/>
      <c r="I174" s="1730">
        <f t="shared" si="8"/>
        <v>1800</v>
      </c>
      <c r="J174" s="1632">
        <f t="shared" si="8"/>
        <v>1890</v>
      </c>
      <c r="K174" s="1633">
        <f t="shared" si="8"/>
        <v>1984.5</v>
      </c>
    </row>
    <row r="175" spans="1:11" ht="23.25" thickBot="1" x14ac:dyDescent="0.25">
      <c r="A175" s="1410" t="s">
        <v>1196</v>
      </c>
      <c r="B175" s="1595" t="str">
        <f>Бюд.р.!A593</f>
        <v>Прочая закупка товаров, работ и услуг для муниципальных нужд</v>
      </c>
      <c r="C175" s="1596">
        <v>968</v>
      </c>
      <c r="D175" s="1597">
        <v>1202</v>
      </c>
      <c r="E175" s="1597" t="s">
        <v>777</v>
      </c>
      <c r="F175" s="1718">
        <f>Бюд.р.!F593</f>
        <v>244</v>
      </c>
      <c r="G175" s="1333"/>
      <c r="H175" s="1333"/>
      <c r="I175" s="1740">
        <f>Бюд.р.!H593</f>
        <v>1800</v>
      </c>
      <c r="J175" s="1652">
        <f>I175*1.05</f>
        <v>1890</v>
      </c>
      <c r="K175" s="1653">
        <f>J175*1.05</f>
        <v>1984.5</v>
      </c>
    </row>
    <row r="176" spans="1:11" ht="13.5" thickBot="1" x14ac:dyDescent="0.25">
      <c r="A176" s="1411"/>
      <c r="B176" s="1562" t="s">
        <v>348</v>
      </c>
      <c r="C176" s="1563"/>
      <c r="D176" s="1564"/>
      <c r="E176" s="1565"/>
      <c r="F176" s="1566"/>
      <c r="G176" s="1669"/>
      <c r="H176" s="1669"/>
      <c r="I176" s="1567" t="e">
        <f>I21+I36</f>
        <v>#REF!</v>
      </c>
      <c r="J176" s="1018"/>
      <c r="K176" s="1018"/>
    </row>
    <row r="177" spans="1:11" ht="16.5" thickBot="1" x14ac:dyDescent="0.25">
      <c r="A177" s="1543"/>
      <c r="B177" s="3148" t="s">
        <v>1247</v>
      </c>
      <c r="C177" s="3149"/>
      <c r="D177" s="3149"/>
      <c r="E177" s="3149"/>
      <c r="F177" s="3150"/>
      <c r="G177" s="1670"/>
      <c r="H177" s="1670"/>
      <c r="I177" s="1547" t="e">
        <f>I9-I18</f>
        <v>#VALUE!</v>
      </c>
      <c r="J177" s="1654" t="e">
        <f>J9-J18</f>
        <v>#VALUE!</v>
      </c>
      <c r="K177" s="1655" t="e">
        <f>K9-K18</f>
        <v>#VALUE!</v>
      </c>
    </row>
    <row r="178" spans="1:11" ht="15.75" x14ac:dyDescent="0.25">
      <c r="B178" s="3151" t="s">
        <v>1258</v>
      </c>
      <c r="C178" s="3152"/>
      <c r="D178" s="3152"/>
      <c r="E178" s="3152"/>
      <c r="F178" s="3153"/>
      <c r="G178" s="1671"/>
      <c r="H178" s="1671"/>
      <c r="I178" s="1548" t="e">
        <f>I177/(I10+I11)</f>
        <v>#VALUE!</v>
      </c>
      <c r="J178" s="1656" t="e">
        <f>J177/(J10+J11)</f>
        <v>#VALUE!</v>
      </c>
      <c r="K178" s="1657" t="e">
        <f>K177/(K10+K11)</f>
        <v>#VALUE!</v>
      </c>
    </row>
    <row r="179" spans="1:11" ht="15.75" x14ac:dyDescent="0.25">
      <c r="B179" s="3154" t="s">
        <v>1256</v>
      </c>
      <c r="C179" s="3155"/>
      <c r="D179" s="3155"/>
      <c r="E179" s="3155"/>
      <c r="F179" s="3156"/>
      <c r="G179" s="1672"/>
      <c r="H179" s="1672"/>
      <c r="I179" s="1549">
        <v>0</v>
      </c>
      <c r="J179" s="1606">
        <v>0</v>
      </c>
      <c r="K179" s="1607">
        <v>0</v>
      </c>
    </row>
    <row r="180" spans="1:11" ht="15.75" x14ac:dyDescent="0.2">
      <c r="B180" s="3157" t="s">
        <v>1248</v>
      </c>
      <c r="C180" s="3158"/>
      <c r="D180" s="3158"/>
      <c r="E180" s="3158"/>
      <c r="F180" s="3159"/>
      <c r="G180" s="1673"/>
      <c r="H180" s="1673"/>
      <c r="I180" s="1550" t="s">
        <v>1251</v>
      </c>
      <c r="J180" s="1658" t="s">
        <v>1252</v>
      </c>
      <c r="K180" s="1659" t="s">
        <v>1253</v>
      </c>
    </row>
    <row r="181" spans="1:11" ht="15.75" x14ac:dyDescent="0.25">
      <c r="B181" s="3140" t="str">
        <f>ДОХ.Пр.1!D24</f>
        <v>Налог, взимаемый в связи с применением упрощенной системы налогообложения</v>
      </c>
      <c r="C181" s="3141"/>
      <c r="D181" s="3141"/>
      <c r="E181" s="3141"/>
      <c r="F181" s="3142"/>
      <c r="G181" s="1674"/>
      <c r="H181" s="1674"/>
      <c r="I181" s="1549">
        <v>10</v>
      </c>
      <c r="J181" s="1606">
        <v>10</v>
      </c>
      <c r="K181" s="1607">
        <v>10</v>
      </c>
    </row>
    <row r="182" spans="1:11" ht="15.75" x14ac:dyDescent="0.25">
      <c r="B182" s="3140" t="str">
        <f>ДОХ.Пр.1!D33</f>
        <v>Единый налог на вмененный доход для отдельных видов деятельности</v>
      </c>
      <c r="C182" s="3141"/>
      <c r="D182" s="3141"/>
      <c r="E182" s="3141"/>
      <c r="F182" s="3142"/>
      <c r="G182" s="1674"/>
      <c r="H182" s="1674"/>
      <c r="I182" s="1549">
        <v>45</v>
      </c>
      <c r="J182" s="1606">
        <v>45</v>
      </c>
      <c r="K182" s="1607">
        <v>45</v>
      </c>
    </row>
    <row r="183" spans="1:11" ht="15.75" x14ac:dyDescent="0.25">
      <c r="B183" s="3140" t="str">
        <f>ДОХ.Пр.1!D39</f>
        <v>Налог на имущество физических лиц</v>
      </c>
      <c r="C183" s="3141"/>
      <c r="D183" s="3141"/>
      <c r="E183" s="3141"/>
      <c r="F183" s="3142"/>
      <c r="G183" s="1674"/>
      <c r="H183" s="1674"/>
      <c r="I183" s="1549">
        <v>100</v>
      </c>
      <c r="J183" s="1606">
        <v>100</v>
      </c>
      <c r="K183" s="1607">
        <v>100</v>
      </c>
    </row>
    <row r="184" spans="1:11" ht="16.5" thickBot="1" x14ac:dyDescent="0.3">
      <c r="B184" s="3143" t="s">
        <v>1255</v>
      </c>
      <c r="C184" s="3144"/>
      <c r="D184" s="3144"/>
      <c r="E184" s="3144"/>
      <c r="F184" s="3145"/>
      <c r="G184" s="1675"/>
      <c r="H184" s="1675"/>
      <c r="I184" s="1551">
        <v>100</v>
      </c>
      <c r="J184" s="1660">
        <v>100</v>
      </c>
      <c r="K184" s="1661">
        <v>100</v>
      </c>
    </row>
    <row r="185" spans="1:11" ht="15.75" x14ac:dyDescent="0.25">
      <c r="B185" s="990" t="s">
        <v>200</v>
      </c>
    </row>
    <row r="187" spans="1:11" ht="15.75" x14ac:dyDescent="0.2">
      <c r="B187" s="3099" t="s">
        <v>1257</v>
      </c>
      <c r="C187" s="3099"/>
      <c r="D187" s="3099"/>
      <c r="E187" s="3099"/>
      <c r="F187" s="3099"/>
      <c r="G187" s="3099"/>
      <c r="H187" s="3099"/>
      <c r="I187" s="3099"/>
      <c r="J187" s="3099"/>
      <c r="K187" s="3099"/>
    </row>
  </sheetData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4" zoomScale="78" zoomScaleNormal="78" workbookViewId="0">
      <selection activeCell="B49" sqref="B49"/>
    </sheetView>
  </sheetViews>
  <sheetFormatPr defaultRowHeight="12.75" x14ac:dyDescent="0.2"/>
  <cols>
    <col min="1" max="1" width="6.42578125" customWidth="1"/>
    <col min="2" max="2" width="113.7109375" customWidth="1"/>
    <col min="3" max="3" width="13.140625" customWidth="1"/>
    <col min="4" max="6" width="0" hidden="1" customWidth="1"/>
  </cols>
  <sheetData>
    <row r="1" spans="1:6" ht="15" x14ac:dyDescent="0.25">
      <c r="A1" s="3180" t="s">
        <v>1457</v>
      </c>
      <c r="B1" s="3180"/>
      <c r="C1" s="3180"/>
      <c r="D1" s="3180"/>
      <c r="E1" s="3180"/>
      <c r="F1" s="3180"/>
    </row>
    <row r="2" spans="1:6" ht="15" x14ac:dyDescent="0.25">
      <c r="A2" s="3180" t="s">
        <v>1241</v>
      </c>
      <c r="B2" s="3180"/>
      <c r="C2" s="3180"/>
      <c r="D2" s="3180"/>
      <c r="E2" s="3180"/>
      <c r="F2" s="3180"/>
    </row>
    <row r="3" spans="1:6" ht="15" x14ac:dyDescent="0.25">
      <c r="A3" s="2051"/>
      <c r="B3" s="3180" t="s">
        <v>1519</v>
      </c>
      <c r="C3" s="3180"/>
      <c r="D3" s="3180"/>
      <c r="E3" s="3180"/>
      <c r="F3" s="3180"/>
    </row>
    <row r="4" spans="1:6" ht="15" hidden="1" x14ac:dyDescent="0.25">
      <c r="A4" s="2051"/>
      <c r="B4" s="3180" t="s">
        <v>1458</v>
      </c>
      <c r="C4" s="3180"/>
      <c r="D4" s="2486"/>
      <c r="E4" s="2486"/>
      <c r="F4" s="2486"/>
    </row>
    <row r="5" spans="1:6" ht="37.5" customHeight="1" thickBot="1" x14ac:dyDescent="0.25">
      <c r="A5" s="3179" t="s">
        <v>1477</v>
      </c>
      <c r="B5" s="3179"/>
      <c r="C5" s="3179"/>
      <c r="D5" s="3179"/>
      <c r="E5" s="3179"/>
      <c r="F5" s="3179"/>
    </row>
    <row r="6" spans="1:6" ht="36.75" thickBot="1" x14ac:dyDescent="0.25">
      <c r="A6" s="2078" t="s">
        <v>1323</v>
      </c>
      <c r="B6" s="2085" t="s">
        <v>273</v>
      </c>
      <c r="C6" s="2085" t="s">
        <v>284</v>
      </c>
      <c r="D6" s="2059" t="s">
        <v>121</v>
      </c>
      <c r="E6" s="1460" t="s">
        <v>285</v>
      </c>
      <c r="F6" s="340" t="s">
        <v>322</v>
      </c>
    </row>
    <row r="7" spans="1:6" x14ac:dyDescent="0.2">
      <c r="A7" s="1744" t="s">
        <v>811</v>
      </c>
      <c r="B7" s="1744">
        <v>2</v>
      </c>
      <c r="C7" s="1744" t="s">
        <v>526</v>
      </c>
      <c r="D7" s="2060" t="s">
        <v>350</v>
      </c>
      <c r="E7" s="1245" t="s">
        <v>350</v>
      </c>
      <c r="F7" s="414">
        <v>7</v>
      </c>
    </row>
    <row r="8" spans="1:6" ht="15" x14ac:dyDescent="0.25">
      <c r="A8" s="2057" t="s">
        <v>811</v>
      </c>
      <c r="B8" s="2053" t="s">
        <v>1324</v>
      </c>
      <c r="C8" s="2052" t="str">
        <f>Бюд.р.!D60</f>
        <v>002  01 00</v>
      </c>
      <c r="D8" s="2063">
        <f>Бюд.р.!E7</f>
        <v>0</v>
      </c>
      <c r="E8" s="1313"/>
      <c r="F8" s="1427">
        <f>Бюд.р.!G7</f>
        <v>0</v>
      </c>
    </row>
    <row r="9" spans="1:6" ht="15.75" customHeight="1" x14ac:dyDescent="0.2">
      <c r="A9" s="2057" t="s">
        <v>924</v>
      </c>
      <c r="B9" s="2055" t="str">
        <f>Бюд.р.!A67</f>
        <v>ДЕПУТАТЫ ПРЕДСТАВИТЕЛЬНОГО ОРГАНА МУНИЦИПАЛЬНОГО ОБРАЗОВАНИЯ</v>
      </c>
      <c r="C9" s="2052" t="str">
        <f>Бюд.р.!D67</f>
        <v>002  03 00</v>
      </c>
      <c r="D9" s="2064">
        <f>Бюд.р.!E9</f>
        <v>0</v>
      </c>
      <c r="E9" s="1311"/>
      <c r="F9" s="1823">
        <f>Бюд.р.!G9</f>
        <v>0</v>
      </c>
    </row>
    <row r="10" spans="1:6" ht="15" x14ac:dyDescent="0.2">
      <c r="A10" s="2057" t="s">
        <v>526</v>
      </c>
      <c r="B10" s="2055" t="str">
        <f>Бюд.р.!A68</f>
        <v>ДЕПУТАТЫ, ОСУЩЕСТВЛЯЮЩИЕ СВОЮ ДЕЯТЕЛЬНОСТЬ НА ПОСТОЯННОЙ ОСНОВЕ</v>
      </c>
      <c r="C10" s="2052" t="str">
        <f>Бюд.р.!D68</f>
        <v>002  03 01</v>
      </c>
      <c r="D10" s="2065"/>
      <c r="E10" s="1824"/>
      <c r="F10" s="1825">
        <f>F11</f>
        <v>225</v>
      </c>
    </row>
    <row r="11" spans="1:6" ht="16.5" customHeight="1" x14ac:dyDescent="0.2">
      <c r="A11" s="2057" t="s">
        <v>745</v>
      </c>
      <c r="B11" s="2055" t="str">
        <f>Бюд.р.!A77</f>
        <v>КОМПЕСАЦИЯ  ДЕПУТАТАМ, ОСУЩЕСТВЛЯЮЩИМ СВОИ ПОЛНОМОЧИЯ НА НЕПОСТОЯННОЙ ОСНОВЕ</v>
      </c>
      <c r="C11" s="2052" t="str">
        <f>Бюд.р.!D77</f>
        <v>002  03 02</v>
      </c>
      <c r="D11" s="2064">
        <f>Бюд.р.!E21</f>
        <v>500</v>
      </c>
      <c r="E11" s="1311"/>
      <c r="F11" s="1823">
        <f>Бюд.р.!G21</f>
        <v>225</v>
      </c>
    </row>
    <row r="12" spans="1:6" ht="15.75" thickBot="1" x14ac:dyDescent="0.25">
      <c r="A12" s="2057" t="s">
        <v>349</v>
      </c>
      <c r="B12" s="2055" t="str">
        <f>Бюд.р.!A82</f>
        <v>АППАРАТ ПРЕДСТАВИТЕЛЬНОГО ОРГАНА МУНИЦИПАЛЬНОГО ОБРАЗОВАНИЯ</v>
      </c>
      <c r="C12" s="2052" t="str">
        <f>Бюд.р.!D82</f>
        <v>002  04 00</v>
      </c>
      <c r="D12" s="2066"/>
      <c r="E12" s="1856"/>
      <c r="F12" s="1857" t="e">
        <f>#REF!+#REF!</f>
        <v>#REF!</v>
      </c>
    </row>
    <row r="13" spans="1:6" ht="15" x14ac:dyDescent="0.2">
      <c r="A13" s="2057" t="s">
        <v>350</v>
      </c>
      <c r="B13" s="2055" t="str">
        <f>Бюд.р.!A151</f>
        <v>ГЛАВА МЕСТНОЙ АДМИНИСТРАЦИИ</v>
      </c>
      <c r="C13" s="2052" t="str">
        <f>Бюд.р.!D151</f>
        <v>002  05 00</v>
      </c>
      <c r="D13" s="2067" t="s">
        <v>856</v>
      </c>
      <c r="E13" s="1316" t="s">
        <v>295</v>
      </c>
      <c r="F13" s="1428"/>
    </row>
    <row r="14" spans="1:6" ht="16.5" customHeight="1" x14ac:dyDescent="0.2">
      <c r="A14" s="2057" t="s">
        <v>351</v>
      </c>
      <c r="B14" s="2055" t="str">
        <f>Бюд.р.!A158</f>
        <v>СОДЕРЖАНИЕ И ОБЕСПЕЧЕНИЕ ДЕЯТЕЛЬНОСТИ МЕСТНОЙ АДМИНИСТРАЦИИ ПО РЕШЕНИЮ ВОПРОСОВ МЕСТНОГО ЗНАЧЕНИЯ</v>
      </c>
      <c r="C14" s="2052" t="str">
        <f>Бюд.р.!D158</f>
        <v>002  06 01</v>
      </c>
      <c r="D14" s="2068" t="s">
        <v>856</v>
      </c>
      <c r="E14" s="1324" t="s">
        <v>305</v>
      </c>
      <c r="F14" s="1428"/>
    </row>
    <row r="15" spans="1:6" ht="27" customHeight="1" x14ac:dyDescent="0.25">
      <c r="A15" s="2057" t="s">
        <v>893</v>
      </c>
      <c r="B15" s="2053" t="str">
        <f>Бюд.р.!A208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15" s="2052" t="str">
        <f>Бюд.р.!D208</f>
        <v>002  80 10</v>
      </c>
      <c r="D15" s="2069"/>
      <c r="E15" s="1328"/>
      <c r="F15" s="1428"/>
    </row>
    <row r="16" spans="1:6" ht="30" customHeight="1" x14ac:dyDescent="0.25">
      <c r="A16" s="2057" t="s">
        <v>425</v>
      </c>
      <c r="B16" s="2053" t="str">
        <f>Бюд.р.!A536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6" s="2052" t="str">
        <f>Бюд.р.!D536</f>
        <v>002 80 31</v>
      </c>
      <c r="D16" s="2069"/>
      <c r="E16" s="1328"/>
      <c r="F16" s="1428"/>
    </row>
    <row r="17" spans="1:6" ht="15" x14ac:dyDescent="0.25">
      <c r="A17" s="2057" t="s">
        <v>426</v>
      </c>
      <c r="B17" s="2053" t="str">
        <f>Бюд.р.!A221</f>
        <v>Резервный фонд местной администрации</v>
      </c>
      <c r="C17" s="2052" t="str">
        <f>Бюд.р.!D221</f>
        <v>070 01 01</v>
      </c>
      <c r="D17" s="2070"/>
      <c r="E17" s="1305"/>
      <c r="F17" s="1425" t="e">
        <f>F18+#REF!</f>
        <v>#REF!</v>
      </c>
    </row>
    <row r="18" spans="1:6" ht="19.5" customHeight="1" x14ac:dyDescent="0.2">
      <c r="A18" s="2057" t="s">
        <v>114</v>
      </c>
      <c r="B18" s="2055" t="str">
        <f>Бюд.р.!A227</f>
        <v>ФОРМИРОВАНИЕ АРХИВНЫХ ФОНДОВ ОРГАНОВ МЕСТНОГО САМОУПРАВЛЕНИЯ,МУНИЦИПАЛЬНЫХ ПРЕДПРИЯТИЙ И УЧРЕЖДЕНИЙ</v>
      </c>
      <c r="C18" s="2052" t="str">
        <f>Бюд.р.!D227</f>
        <v>090 01 00</v>
      </c>
      <c r="D18" s="2071"/>
      <c r="E18" s="1309"/>
      <c r="F18" s="1429" t="e">
        <f>#REF!+#REF!</f>
        <v>#REF!</v>
      </c>
    </row>
    <row r="19" spans="1:6" ht="17.25" customHeight="1" x14ac:dyDescent="0.2">
      <c r="A19" s="2057" t="s">
        <v>5</v>
      </c>
      <c r="B19" s="2079" t="str">
        <f>Бюд.р.!A240</f>
        <v>РАСХОДЫ НА ОСУЩЕСТВЛЕНИЕ ЗАКУПОК ТОВАРОВ, РАБОТ, УСЛУГ ДЛЯ ОБЕСПЕЧЕНИЯ МУНИЦИПАЛЬНЫХ НУЖД</v>
      </c>
      <c r="C19" s="2052" t="str">
        <f>Бюд.р.!D240</f>
        <v>092 02 00</v>
      </c>
      <c r="D19" s="2072">
        <f>Бюд.р.!E64</f>
        <v>500</v>
      </c>
      <c r="E19" s="1334"/>
      <c r="F19" s="1431">
        <f>Бюд.р.!G64</f>
        <v>211</v>
      </c>
    </row>
    <row r="20" spans="1:6" ht="28.5" customHeight="1" x14ac:dyDescent="0.2">
      <c r="A20" s="2057" t="s">
        <v>583</v>
      </c>
      <c r="B20" s="2080" t="str">
        <f>Бюд.р.!A104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0" s="2052" t="str">
        <f>Бюд.р.!D104</f>
        <v>092 05 00</v>
      </c>
      <c r="D20" s="2061"/>
      <c r="E20" s="1365"/>
      <c r="F20" s="1432" t="e">
        <f>F21+#REF!</f>
        <v>#REF!</v>
      </c>
    </row>
    <row r="21" spans="1:6" ht="26.25" customHeight="1" x14ac:dyDescent="0.2">
      <c r="A21" s="2057" t="s">
        <v>584</v>
      </c>
      <c r="B21" s="2055" t="str">
        <f>Бюд.р.!A250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21" s="2052" t="str">
        <f>Бюд.р.!D250</f>
        <v>092 06 00</v>
      </c>
      <c r="D21" s="2073"/>
      <c r="E21" s="1343"/>
      <c r="F21" s="1429">
        <f>F22</f>
        <v>6</v>
      </c>
    </row>
    <row r="22" spans="1:6" ht="15" x14ac:dyDescent="0.2">
      <c r="A22" s="2057" t="s">
        <v>38</v>
      </c>
      <c r="B22" s="2055" t="str">
        <f>Бюд.р.!A255</f>
        <v>РАСХОДЫ НА ПОДДЕРЖАНИЕ САЙТА МО МО ОЗЕРО ДОЛГОЕ</v>
      </c>
      <c r="C22" s="2052" t="str">
        <f>Бюд.р.!D255</f>
        <v>092 08 00</v>
      </c>
      <c r="D22" s="2063">
        <f>Бюд.р.!E147</f>
        <v>5</v>
      </c>
      <c r="E22" s="1343"/>
      <c r="F22" s="1431">
        <f>Бюд.р.!G147</f>
        <v>6</v>
      </c>
    </row>
    <row r="23" spans="1:6" ht="18.75" customHeight="1" x14ac:dyDescent="0.2">
      <c r="A23" s="2057" t="s">
        <v>86</v>
      </c>
      <c r="B23" s="2055" t="str">
        <f>Бюд.р.!A261</f>
        <v>РАСХОДЫ НА ОСУЩЕСТВЛЕНИЕ ЗАЩИТЫ ПРАВ ПОТРЕБИТЕЛЕЙ</v>
      </c>
      <c r="C23" s="2052" t="str">
        <f>Бюд.р.!D261</f>
        <v>092 10 00</v>
      </c>
      <c r="D23" s="2074"/>
      <c r="E23" s="1332"/>
      <c r="F23" s="1430"/>
    </row>
    <row r="24" spans="1:6" ht="21" customHeight="1" x14ac:dyDescent="0.2">
      <c r="A24" s="2057" t="s">
        <v>1104</v>
      </c>
      <c r="B24" s="2079" t="str">
        <f>Бюд.р.!A436</f>
        <v>УЧАСТИЕ В МЕРОПРИЯТИЯХ ПО ОХРАНЕ ОКРУЖАЮЩЕЙ СРЕДЫ В ГРАНИЦАХ МУНИЦИПАЛЬНОГО ОБРАЗОВАНИЯ</v>
      </c>
      <c r="C24" s="2052" t="str">
        <f>Бюд.р.!D436</f>
        <v>410 01 00</v>
      </c>
      <c r="D24" s="2072">
        <f>Бюд.р.!E161</f>
        <v>500</v>
      </c>
      <c r="E24" s="1347"/>
      <c r="F24" s="1431">
        <f>Бюд.р.!G161</f>
        <v>200</v>
      </c>
    </row>
    <row r="25" spans="1:6" ht="27" customHeight="1" x14ac:dyDescent="0.2">
      <c r="A25" s="2057" t="s">
        <v>1194</v>
      </c>
      <c r="B25" s="2079" t="str">
        <f>Бюд.р.!A444</f>
        <v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25" s="2052" t="str">
        <f>Бюд.р.!D444</f>
        <v>428 01 01</v>
      </c>
      <c r="D25" s="2072"/>
      <c r="E25" s="1347"/>
      <c r="F25" s="1431"/>
    </row>
    <row r="26" spans="1:6" ht="18" customHeight="1" x14ac:dyDescent="0.2">
      <c r="A26" s="2057" t="s">
        <v>1300</v>
      </c>
      <c r="B26" s="2079" t="str">
        <f>Бюд.р.!A449</f>
        <v xml:space="preserve">Расходы на организацию профессионального образования и дополнительного профессионального образования для  муниципальных служащих  </v>
      </c>
      <c r="C26" s="2052" t="str">
        <f>Бюд.р.!D449</f>
        <v>428 01 02</v>
      </c>
      <c r="D26" s="2072"/>
      <c r="E26" s="1347"/>
      <c r="F26" s="1431"/>
    </row>
    <row r="27" spans="1:6" ht="15" x14ac:dyDescent="0.2">
      <c r="A27" s="2057" t="s">
        <v>1520</v>
      </c>
      <c r="B27" s="2079" t="str">
        <f>Бюд.р.!A591</f>
        <v xml:space="preserve">ОПУБЛИКОВАНИЕ МУНИЦИПАЛЬНЫХ ПРАВОВЫХ АКТОВ, ИНОЙ ИНФОРМАЦИИ </v>
      </c>
      <c r="C27" s="2052" t="str">
        <f>Бюд.р.!D591</f>
        <v>457 03 00</v>
      </c>
      <c r="D27" s="2072">
        <f>Бюд.р.!E200</f>
        <v>0</v>
      </c>
      <c r="E27" s="1347"/>
      <c r="F27" s="1431">
        <f>Бюд.р.!G200</f>
        <v>0</v>
      </c>
    </row>
    <row r="28" spans="1:6" ht="26.25" customHeight="1" x14ac:dyDescent="0.2">
      <c r="A28" s="2057" t="s">
        <v>1325</v>
      </c>
      <c r="B28" s="2079" t="str">
        <f>Бюд.р.!A530</f>
        <v>РАСХОДЫ НА ПРЕДОСТАВЛЕНИЕ ДОПЛАТ К ПЕНСИИ ЛИЦАМ, ЗАМЕЩАВШИМ МУНИЦИПАЛЬНЫЕ ДОЛЖНОСТИ И ДОЛЖНОСТИ МУНИЦИПАЛЬНОЙ СЛУЖБЫ</v>
      </c>
      <c r="C28" s="2052" t="str">
        <f>Бюд.р.!D530</f>
        <v>505 01 00</v>
      </c>
      <c r="D28" s="2071"/>
      <c r="E28" s="1349"/>
      <c r="F28" s="1430">
        <f>F30</f>
        <v>300</v>
      </c>
    </row>
    <row r="29" spans="1:6" ht="18" customHeight="1" x14ac:dyDescent="0.2">
      <c r="A29" s="2057" t="s">
        <v>1326</v>
      </c>
      <c r="B29" s="2079" t="str">
        <f>Бюд.р.!A310</f>
        <v>ВРЕМЕННОЕ ТРУДОУСТРОЙСТВО НЕСОВЕРШЕННОЛЕТНИХ В ВОЗРАСТЕ ОТ 14 ДО 18 ЛЕТ В СВОБОДНОЕ ОТ УЧЕБЫ ВРЕМЯ</v>
      </c>
      <c r="C29" s="2052" t="str">
        <f>Бюд.р.!D310</f>
        <v>510 02 00</v>
      </c>
      <c r="D29" s="2071"/>
      <c r="E29" s="1349"/>
      <c r="F29" s="1430"/>
    </row>
    <row r="30" spans="1:6" ht="32.25" customHeight="1" x14ac:dyDescent="0.2">
      <c r="A30" s="2057" t="s">
        <v>1327</v>
      </c>
      <c r="B30" s="2081" t="str">
        <f>Бюд.р.!A557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30" s="2052" t="str">
        <f>Бюд.р.!D557</f>
        <v>511 80 32</v>
      </c>
      <c r="D30" s="2072">
        <v>870</v>
      </c>
      <c r="E30" s="1335"/>
      <c r="F30" s="1431">
        <f>Бюд.р.!G217</f>
        <v>300</v>
      </c>
    </row>
    <row r="31" spans="1:6" ht="31.5" customHeight="1" x14ac:dyDescent="0.2">
      <c r="A31" s="2057" t="s">
        <v>1328</v>
      </c>
      <c r="B31" s="2081" t="str">
        <f>Бюд.р.!A562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31" s="2056" t="str">
        <f>Бюд.р.!D562</f>
        <v>511 80 33</v>
      </c>
      <c r="D31" s="2075"/>
      <c r="E31" s="1416"/>
      <c r="F31" s="1425">
        <f>Бюд.р.!G221</f>
        <v>0</v>
      </c>
    </row>
    <row r="32" spans="1:6" ht="15" x14ac:dyDescent="0.2">
      <c r="A32" s="2057" t="s">
        <v>1329</v>
      </c>
      <c r="B32" s="2082" t="str">
        <f>Бюд.р.!A328</f>
        <v>БЛАГОУСТРОЙСТВО ПРИДОМОВЫХ ТЕРРИТОРИЙ И ДВОРОВЫХ ТЕРРИТОРИЙ</v>
      </c>
      <c r="C32" s="2056" t="str">
        <f>Бюд.р.!D328</f>
        <v>600 01 00</v>
      </c>
      <c r="D32" s="2062"/>
      <c r="E32" s="1351"/>
      <c r="F32" s="1429">
        <f>F33</f>
        <v>200</v>
      </c>
    </row>
    <row r="33" spans="1:6" ht="16.5" customHeight="1" x14ac:dyDescent="0.2">
      <c r="A33" s="2057" t="s">
        <v>1330</v>
      </c>
      <c r="B33" s="2079" t="str">
        <f>Бюд.р.!A329</f>
        <v>ТЕКУЩИЙ РЕМОНТ ПРИДОМОВЫХ ТЕРРИТОРИЙ И ДВОРОВЫХ ТЕРРИТОРИЙ , ВКЛЮЧАЯ ПРОЕЗДЫ И ВЪЕЗДЫ,ПЕШЕХОДНЫЕ ДОРОЖКИ</v>
      </c>
      <c r="C33" s="2052" t="str">
        <f>Бюд.р.!D331</f>
        <v>600 01 01</v>
      </c>
      <c r="D33" s="2063">
        <f>Бюд.р.!E224</f>
        <v>13</v>
      </c>
      <c r="E33" s="1328"/>
      <c r="F33" s="1427">
        <f>Бюд.р.!G224</f>
        <v>200</v>
      </c>
    </row>
    <row r="34" spans="1:6" ht="15" x14ac:dyDescent="0.2">
      <c r="A34" s="2057" t="s">
        <v>1331</v>
      </c>
      <c r="B34" s="2079" t="str">
        <f>Бюд.р.!A339</f>
        <v>ОРГАНИЗАЦИЯ ДОПОЛНИТЕЛЬНЫХ  ПАРКОВОЧНЫХ МЕСТ НА ДВОРОВЫХ ТЕРРИТОРИЯХ</v>
      </c>
      <c r="C34" s="2056" t="str">
        <f>Бюд.р.!D339</f>
        <v>600 01 01</v>
      </c>
      <c r="D34" s="2076"/>
      <c r="E34" s="1309"/>
      <c r="F34" s="1429">
        <f>SUM(F35:F48)</f>
        <v>226</v>
      </c>
    </row>
    <row r="35" spans="1:6" ht="15" x14ac:dyDescent="0.2">
      <c r="A35" s="2057" t="s">
        <v>1332</v>
      </c>
      <c r="B35" s="2055" t="str">
        <f>Бюд.р.!A344</f>
        <v xml:space="preserve">УСТАНОВКА,СОДЕРЖАНИЕ И РЕМОНТ ОГРАЖДЕНИЙ ГАЗОНОВ </v>
      </c>
      <c r="C35" s="2052" t="str">
        <f>Бюд.р.!D344</f>
        <v>600 01 03</v>
      </c>
      <c r="D35" s="2063" t="s">
        <v>920</v>
      </c>
      <c r="E35" s="1313"/>
      <c r="F35" s="1427">
        <f>Бюд.р.!G227</f>
        <v>0</v>
      </c>
    </row>
    <row r="36" spans="1:6" ht="25.5" customHeight="1" x14ac:dyDescent="0.2">
      <c r="A36" s="2057" t="s">
        <v>1333</v>
      </c>
      <c r="B36" s="2055" t="str">
        <f>Бюд.р.!A355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36" s="2052" t="str">
        <f>Бюд.р.!D355</f>
        <v>600 01 04</v>
      </c>
      <c r="D36" s="2063"/>
      <c r="E36" s="1313"/>
      <c r="F36" s="1427"/>
    </row>
    <row r="37" spans="1:6" ht="13.5" customHeight="1" x14ac:dyDescent="0.2">
      <c r="A37" s="2057" t="s">
        <v>1334</v>
      </c>
      <c r="B37" s="2082" t="str">
        <f>Бюд.р.!A363</f>
        <v>БЛАГОУСТРОЙСТВО ТЕРРИТОРИИ МО , СВЯЗАННОЕ С ОБЕСПЕЧЕНИЕМ САНИТАРНОГО БЛАГОПОЛУЧИЯ НАСЕЛЕНИЯ</v>
      </c>
      <c r="C37" s="2052" t="str">
        <f>Бюд.р.!D363</f>
        <v>600 02 00</v>
      </c>
      <c r="D37" s="2063"/>
      <c r="E37" s="1313"/>
      <c r="F37" s="1427"/>
    </row>
    <row r="38" spans="1:6" ht="15" x14ac:dyDescent="0.2">
      <c r="A38" s="2057" t="s">
        <v>1335</v>
      </c>
      <c r="B38" s="2055" t="str">
        <f>Бюд.р.!A364</f>
        <v>ОБОРУДОВАНИЕ КОНТЕЙНЕРНЫХ ПЛОЩАДОК НА ТЕРРИТОРИЯХ ДВОРОВ</v>
      </c>
      <c r="C38" s="2052" t="str">
        <f>Бюд.р.!D364</f>
        <v>600 02 01</v>
      </c>
      <c r="D38" s="2063"/>
      <c r="E38" s="1313"/>
      <c r="F38" s="1427"/>
    </row>
    <row r="39" spans="1:6" ht="25.5" customHeight="1" x14ac:dyDescent="0.2">
      <c r="A39" s="2057" t="s">
        <v>1336</v>
      </c>
      <c r="B39" s="2055" t="str">
        <f>Бюд.р.!A375</f>
        <v>ЛИКВИДАЦИЯ НЕСАНКЦИОНИРОВАННЫХ СВАЛОК БЫТОВЫХ ОТХОДОВ, МУСОРА, УБОРКА ТЕРРИТОРИЙ, ВОДНЫХ АКВАТОРИЙ, ТУПИКОВ И ПРОЕЗДОВ</v>
      </c>
      <c r="C39" s="2052" t="str">
        <f>Бюд.р.!D375</f>
        <v>600 02 04</v>
      </c>
      <c r="D39" s="2063"/>
      <c r="E39" s="1313"/>
      <c r="F39" s="1427"/>
    </row>
    <row r="40" spans="1:6" ht="15" x14ac:dyDescent="0.2">
      <c r="A40" s="2057" t="s">
        <v>1337</v>
      </c>
      <c r="B40" s="2055" t="str">
        <f>Бюд.р.!A383</f>
        <v>ОЗЕЛЕНЕНИЕ  ТЕРРИТОРИЙ МУНИЦИПАЛЬНОГО ОБРАЗОВАНИЯ</v>
      </c>
      <c r="C40" s="2052" t="str">
        <f>Бюд.р.!D383</f>
        <v>600 03 00</v>
      </c>
      <c r="D40" s="2063"/>
      <c r="E40" s="1313"/>
      <c r="F40" s="1427"/>
    </row>
    <row r="41" spans="1:6" ht="27" customHeight="1" x14ac:dyDescent="0.2">
      <c r="A41" s="2057" t="s">
        <v>1338</v>
      </c>
      <c r="B41" s="2055" t="str">
        <f>Бюд.р.!A384</f>
        <v>ОЗЕЛЕНЕНИЕ , СОДЕРЖАНИЕ И РЕМОНТ ТЕРРИТОРИЙ  ЗЕЛЕНЫХ НАСАЖДЕНИЙ ВНУТРИКВАРТАЛЬНОГО ОЗЕЛЕНЕНИЯ, КОМПЕНСАЦИОННОЕ ОЗЕЛЕНЕНИЕ</v>
      </c>
      <c r="C41" s="2052" t="str">
        <f>Бюд.р.!D384</f>
        <v>600 03 01</v>
      </c>
      <c r="D41" s="2063"/>
      <c r="E41" s="1313"/>
      <c r="F41" s="1427"/>
    </row>
    <row r="42" spans="1:6" ht="29.25" customHeight="1" x14ac:dyDescent="0.2">
      <c r="A42" s="2057" t="s">
        <v>1339</v>
      </c>
      <c r="B42" s="2055" t="str">
        <f>Бюд.р.!A394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42" s="2052" t="str">
        <f>Бюд.р.!D394</f>
        <v>600 03 02</v>
      </c>
      <c r="D42" s="2063"/>
      <c r="E42" s="1313"/>
      <c r="F42" s="1427"/>
    </row>
    <row r="43" spans="1:6" ht="15" x14ac:dyDescent="0.2">
      <c r="A43" s="2057" t="s">
        <v>1340</v>
      </c>
      <c r="B43" s="2055" t="str">
        <f>Бюд.р.!A406</f>
        <v xml:space="preserve">ОРГАНИЗАЦИЯ УЧЕТА ЗЕЛЕНЫХ НАСАЖДЕНИЙ ВНУТРИКВАРТАЛЬНОГО ОЗЕЛЕНЕНИЯ </v>
      </c>
      <c r="C43" s="2052" t="str">
        <f>Бюд.р.!D406</f>
        <v>600 03 05</v>
      </c>
      <c r="D43" s="2063"/>
      <c r="E43" s="1313"/>
      <c r="F43" s="1427"/>
    </row>
    <row r="44" spans="1:6" ht="15" x14ac:dyDescent="0.2">
      <c r="A44" s="2057" t="s">
        <v>1341</v>
      </c>
      <c r="B44" s="2055" t="str">
        <f>Бюд.р.!A411</f>
        <v>ПРОЧИЕ МЕРОПРИЯТИЯ В ОБЛАСТИ БЛАГОУСТРОЙСТВА</v>
      </c>
      <c r="C44" s="2052" t="str">
        <f>Бюд.р.!D411</f>
        <v>600 04 00</v>
      </c>
      <c r="D44" s="2063"/>
      <c r="E44" s="1313"/>
      <c r="F44" s="1427"/>
    </row>
    <row r="45" spans="1:6" ht="16.5" customHeight="1" x14ac:dyDescent="0.2">
      <c r="A45" s="2057" t="s">
        <v>1342</v>
      </c>
      <c r="B45" s="2055" t="str">
        <f>Бюд.р.!A412</f>
        <v>СОЗДАНИЕ ЗОН ОТДЫХА, В ТОМ ЧИСЛЕ ОБУСТРОЙСТВО, СОДЕРЖАНИЕ И УБОРКА ТЕРРИТОРИЙ ДЕТСКИХ ПЛОЩАДОК</v>
      </c>
      <c r="C45" s="2052" t="str">
        <f>Бюд.р.!D412</f>
        <v>600 04 01</v>
      </c>
      <c r="D45" s="2063"/>
      <c r="E45" s="1313"/>
      <c r="F45" s="1427"/>
    </row>
    <row r="46" spans="1:6" ht="15" customHeight="1" x14ac:dyDescent="0.2">
      <c r="A46" s="2057" t="s">
        <v>1343</v>
      </c>
      <c r="B46" s="2055" t="str">
        <f>Бюд.р.!A420</f>
        <v>ОБУСТРОЙСТВО, СОДЕРЖАНИЕ И УБОРКА ТЕРРИТОРИЙ СПОРТИВНЫХ ПЛОЩАДОК</v>
      </c>
      <c r="C46" s="2052" t="str">
        <f>Бюд.р.!D424</f>
        <v>600 04 02</v>
      </c>
      <c r="D46" s="2063"/>
      <c r="E46" s="1313"/>
      <c r="F46" s="1427"/>
    </row>
    <row r="47" spans="1:6" ht="15" customHeight="1" x14ac:dyDescent="0.2">
      <c r="A47" s="2057" t="s">
        <v>1521</v>
      </c>
      <c r="B47" s="2055" t="str">
        <f>Бюд.р.!A425</f>
        <v>ВЫПОЛНЕНИЕ ОФОРМЛЕНИЯ К ПРАЗДНИЧНЫМ МЕРОПРИЯТИЯМ НА ТЕРРИТОРИИ МУНИЦИПАЛЬНОГО ОБРАЗОВАНИЯ</v>
      </c>
      <c r="C47" s="2052" t="str">
        <f>Бюд.р.!D425</f>
        <v>600 04 03</v>
      </c>
      <c r="D47" s="2063"/>
      <c r="E47" s="1313"/>
      <c r="F47" s="1427"/>
    </row>
    <row r="48" spans="1:6" ht="28.5" customHeight="1" x14ac:dyDescent="0.25">
      <c r="A48" s="2057" t="s">
        <v>1344</v>
      </c>
      <c r="B48" s="2083" t="str">
        <f>Бюд.р.!A491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C48" s="2058" t="str">
        <f>Бюд.р.!D491</f>
        <v>795 01 00</v>
      </c>
      <c r="D48" s="2063" t="s">
        <v>1128</v>
      </c>
      <c r="E48" s="1313"/>
      <c r="F48" s="1427">
        <f>Бюд.р.!G231</f>
        <v>226</v>
      </c>
    </row>
    <row r="49" spans="1:6" ht="15.75" customHeight="1" x14ac:dyDescent="0.25">
      <c r="A49" s="2057" t="s">
        <v>1345</v>
      </c>
      <c r="B49" s="2083" t="str">
        <f>Бюд.р.!A266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49" s="2058" t="str">
        <f>Бюд.р.!D266</f>
        <v>795 02 00</v>
      </c>
      <c r="D49" s="2077"/>
      <c r="E49" s="1332"/>
      <c r="F49" s="1430">
        <f>F51</f>
        <v>226</v>
      </c>
    </row>
    <row r="50" spans="1:6" ht="76.5" customHeight="1" x14ac:dyDescent="0.25">
      <c r="A50" s="2057" t="s">
        <v>1346</v>
      </c>
      <c r="B50" s="2083" t="str">
        <f>Бюд.р.!A281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0" s="2058" t="str">
        <f>Бюд.р.!D281</f>
        <v>795 03 00</v>
      </c>
      <c r="D50" s="2077"/>
      <c r="E50" s="1332"/>
      <c r="F50" s="1430"/>
    </row>
    <row r="51" spans="1:6" ht="34.5" customHeight="1" x14ac:dyDescent="0.2">
      <c r="A51" s="2057" t="s">
        <v>1347</v>
      </c>
      <c r="B51" s="2084" t="str">
        <f>Бюд.р.!A500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51" s="2058" t="str">
        <f>Бюд.р.!D500</f>
        <v>795 04 00</v>
      </c>
      <c r="D51" s="2072">
        <f>Бюд.р.!E235</f>
        <v>500</v>
      </c>
      <c r="E51" s="1347"/>
      <c r="F51" s="1431">
        <f>Бюд.р.!G235</f>
        <v>226</v>
      </c>
    </row>
    <row r="52" spans="1:6" ht="32.25" customHeight="1" x14ac:dyDescent="0.2">
      <c r="A52" s="2057" t="s">
        <v>1348</v>
      </c>
      <c r="B52" s="2084" t="str">
        <f>Бюд.р.!A302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52" s="2058" t="str">
        <f>Бюд.р.!D302</f>
        <v>795 05 00</v>
      </c>
      <c r="D52" s="2063"/>
      <c r="E52" s="1313"/>
      <c r="F52" s="1429">
        <f>F53</f>
        <v>200</v>
      </c>
    </row>
    <row r="53" spans="1:6" ht="18.75" customHeight="1" x14ac:dyDescent="0.2">
      <c r="A53" s="2057" t="s">
        <v>1349</v>
      </c>
      <c r="B53" s="2084" t="str">
        <f>Бюд.р.!A517</f>
        <v xml:space="preserve">Ведомственная целевая программа по организации и проведению досуговых мероприятий для жителей МО МО Озеро Долгое </v>
      </c>
      <c r="C53" s="2058" t="str">
        <f>Бюд.р.!D517</f>
        <v>795 06 00</v>
      </c>
      <c r="D53" s="2063">
        <f>Бюд.р.!E240</f>
        <v>0</v>
      </c>
      <c r="E53" s="1313"/>
      <c r="F53" s="1427">
        <f>Бюд.р.!G243</f>
        <v>200</v>
      </c>
    </row>
    <row r="54" spans="1:6" ht="15" x14ac:dyDescent="0.25">
      <c r="A54" s="2057" t="s">
        <v>1350</v>
      </c>
      <c r="B54" s="2595" t="str">
        <f>Бюд.р.!A321</f>
        <v>Ведомственная целевая программа по содействия развитию малого бизнеса на территории МО</v>
      </c>
      <c r="C54" s="2597" t="str">
        <f>Бюд.р.!D321</f>
        <v>795 07 00</v>
      </c>
    </row>
    <row r="55" spans="1:6" ht="15" x14ac:dyDescent="0.25">
      <c r="A55" s="2057" t="s">
        <v>1351</v>
      </c>
      <c r="B55" s="2595" t="str">
        <f>Бюд.р.!A466</f>
        <v>Ведомственная целевая программа по военно-патриотическому воспитанию граждан муниципального образования</v>
      </c>
      <c r="C55" s="2597" t="str">
        <f>Бюд.р.!D466</f>
        <v>795 08 00</v>
      </c>
    </row>
    <row r="56" spans="1:6" ht="28.5" customHeight="1" x14ac:dyDescent="0.25">
      <c r="A56" s="2057" t="s">
        <v>1352</v>
      </c>
      <c r="B56" s="2596" t="str">
        <f>Бюд.р.!A508</f>
        <v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56" s="2597" t="str">
        <f>Бюд.р.!D508</f>
        <v>795 09 00</v>
      </c>
    </row>
    <row r="57" spans="1:6" ht="45" customHeight="1" x14ac:dyDescent="0.25">
      <c r="A57" s="2057" t="s">
        <v>1353</v>
      </c>
      <c r="B57" s="2596" t="str">
        <f>Бюд.р.!A577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57" s="2597" t="str">
        <f>Бюд.р.!D577</f>
        <v>795 10 00</v>
      </c>
    </row>
    <row r="58" spans="1:6" ht="46.5" customHeight="1" x14ac:dyDescent="0.25">
      <c r="A58" s="2057" t="s">
        <v>1354</v>
      </c>
      <c r="B58" s="2596" t="str">
        <f>Бюд.р.!A273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58" s="2597" t="str">
        <f>Бюд.р.!D273</f>
        <v>795 11 00</v>
      </c>
    </row>
    <row r="59" spans="1:6" ht="14.25" x14ac:dyDescent="0.2">
      <c r="A59" s="2054"/>
      <c r="B59" s="2054"/>
      <c r="C59" s="2054"/>
    </row>
    <row r="60" spans="1:6" ht="14.25" x14ac:dyDescent="0.2">
      <c r="A60" s="2054"/>
      <c r="B60" s="2054"/>
      <c r="C60" s="2054"/>
    </row>
    <row r="61" spans="1:6" ht="14.25" x14ac:dyDescent="0.2">
      <c r="A61" s="2054"/>
      <c r="B61" s="2054"/>
      <c r="C61" s="2054"/>
    </row>
    <row r="62" spans="1:6" ht="14.25" x14ac:dyDescent="0.2">
      <c r="A62" s="2054"/>
      <c r="B62" s="2054"/>
      <c r="C62" s="2054"/>
    </row>
    <row r="63" spans="1:6" ht="14.25" x14ac:dyDescent="0.2">
      <c r="A63" s="2054"/>
      <c r="B63" s="2054"/>
      <c r="C63" s="2054"/>
    </row>
    <row r="64" spans="1:6" ht="14.25" x14ac:dyDescent="0.2">
      <c r="A64" s="2054"/>
      <c r="B64" s="2054"/>
      <c r="C64" s="2054"/>
    </row>
    <row r="65" spans="1:3" ht="14.25" x14ac:dyDescent="0.2">
      <c r="A65" s="2054"/>
      <c r="B65" s="2054"/>
      <c r="C65" s="2054"/>
    </row>
    <row r="66" spans="1:3" ht="14.25" x14ac:dyDescent="0.2">
      <c r="A66" s="2054"/>
      <c r="B66" s="2054"/>
      <c r="C66" s="2054"/>
    </row>
    <row r="67" spans="1:3" ht="14.25" x14ac:dyDescent="0.2">
      <c r="A67" s="2054"/>
      <c r="B67" s="2054"/>
      <c r="C67" s="2054"/>
    </row>
    <row r="68" spans="1:3" ht="14.25" x14ac:dyDescent="0.2">
      <c r="A68" s="2054"/>
      <c r="B68" s="2054"/>
      <c r="C68" s="2054"/>
    </row>
    <row r="69" spans="1:3" ht="14.25" x14ac:dyDescent="0.2">
      <c r="A69" s="2054"/>
      <c r="B69" s="2054"/>
      <c r="C69" s="2054"/>
    </row>
    <row r="70" spans="1:3" ht="14.25" x14ac:dyDescent="0.2">
      <c r="A70" s="2054"/>
      <c r="B70" s="2054"/>
      <c r="C70" s="2054"/>
    </row>
    <row r="71" spans="1:3" ht="14.25" x14ac:dyDescent="0.2">
      <c r="A71" s="2054"/>
      <c r="B71" s="2054"/>
      <c r="C71" s="2054"/>
    </row>
    <row r="72" spans="1:3" ht="14.25" x14ac:dyDescent="0.2">
      <c r="A72" s="2054"/>
      <c r="B72" s="2054"/>
      <c r="C72" s="2054"/>
    </row>
    <row r="73" spans="1:3" ht="14.25" x14ac:dyDescent="0.2">
      <c r="A73" s="2054"/>
      <c r="B73" s="2054"/>
      <c r="C73" s="2054"/>
    </row>
    <row r="74" spans="1:3" ht="14.25" x14ac:dyDescent="0.2">
      <c r="A74" s="2054"/>
      <c r="B74" s="2054"/>
      <c r="C74" s="2054"/>
    </row>
    <row r="75" spans="1:3" ht="14.25" x14ac:dyDescent="0.2">
      <c r="A75" s="2054"/>
      <c r="B75" s="2054"/>
      <c r="C75" s="2054"/>
    </row>
    <row r="76" spans="1:3" ht="14.25" x14ac:dyDescent="0.2">
      <c r="A76" s="2054"/>
      <c r="B76" s="2054"/>
      <c r="C76" s="2054"/>
    </row>
    <row r="77" spans="1:3" ht="14.25" x14ac:dyDescent="0.2">
      <c r="A77" s="2054"/>
      <c r="B77" s="2054"/>
      <c r="C77" s="2054"/>
    </row>
    <row r="78" spans="1:3" ht="14.25" x14ac:dyDescent="0.2">
      <c r="A78" s="2054"/>
      <c r="B78" s="2054"/>
      <c r="C78" s="2054"/>
    </row>
    <row r="79" spans="1:3" ht="14.25" x14ac:dyDescent="0.2">
      <c r="A79" s="2054"/>
      <c r="B79" s="2054"/>
      <c r="C79" s="2054"/>
    </row>
    <row r="80" spans="1:3" ht="14.25" x14ac:dyDescent="0.2">
      <c r="A80" s="2054"/>
      <c r="B80" s="2054"/>
      <c r="C80" s="2054"/>
    </row>
    <row r="81" spans="1:3" ht="14.25" x14ac:dyDescent="0.2">
      <c r="A81" s="2054"/>
      <c r="B81" s="2054"/>
      <c r="C81" s="2054"/>
    </row>
    <row r="82" spans="1:3" ht="14.25" x14ac:dyDescent="0.2">
      <c r="A82" s="2054"/>
      <c r="B82" s="2054"/>
      <c r="C82" s="2054"/>
    </row>
    <row r="83" spans="1:3" ht="14.25" x14ac:dyDescent="0.2">
      <c r="A83" s="2054"/>
      <c r="B83" s="2054"/>
      <c r="C83" s="2054"/>
    </row>
    <row r="84" spans="1:3" ht="14.25" x14ac:dyDescent="0.2">
      <c r="A84" s="2054"/>
      <c r="B84" s="2054"/>
      <c r="C84" s="2054"/>
    </row>
    <row r="85" spans="1:3" ht="14.25" x14ac:dyDescent="0.2">
      <c r="A85" s="2054"/>
      <c r="B85" s="2054"/>
      <c r="C85" s="2054"/>
    </row>
    <row r="86" spans="1:3" ht="14.25" x14ac:dyDescent="0.2">
      <c r="A86" s="2054"/>
      <c r="B86" s="2054"/>
      <c r="C86" s="2054"/>
    </row>
    <row r="87" spans="1:3" ht="14.25" x14ac:dyDescent="0.2">
      <c r="A87" s="2054"/>
      <c r="B87" s="2054"/>
      <c r="C87" s="2054"/>
    </row>
    <row r="88" spans="1:3" ht="14.25" x14ac:dyDescent="0.2">
      <c r="A88" s="2054"/>
      <c r="B88" s="2054"/>
      <c r="C88" s="2054"/>
    </row>
    <row r="89" spans="1:3" ht="14.25" x14ac:dyDescent="0.2">
      <c r="A89" s="2054"/>
      <c r="B89" s="2054"/>
      <c r="C89" s="2054"/>
    </row>
    <row r="90" spans="1:3" ht="14.25" x14ac:dyDescent="0.2">
      <c r="A90" s="2054"/>
      <c r="B90" s="2054"/>
      <c r="C90" s="2054"/>
    </row>
    <row r="91" spans="1:3" ht="14.25" x14ac:dyDescent="0.2">
      <c r="A91" s="2054"/>
      <c r="B91" s="2054"/>
      <c r="C91" s="2054"/>
    </row>
    <row r="92" spans="1:3" ht="14.25" x14ac:dyDescent="0.2">
      <c r="A92" s="2054"/>
      <c r="B92" s="2054"/>
      <c r="C92" s="2054"/>
    </row>
    <row r="93" spans="1:3" ht="14.25" x14ac:dyDescent="0.2">
      <c r="A93" s="2054"/>
      <c r="B93" s="2054"/>
      <c r="C93" s="2054"/>
    </row>
    <row r="94" spans="1:3" ht="14.25" x14ac:dyDescent="0.2">
      <c r="A94" s="2054"/>
      <c r="B94" s="2054"/>
      <c r="C94" s="2054"/>
    </row>
    <row r="95" spans="1:3" ht="14.25" x14ac:dyDescent="0.2">
      <c r="A95" s="2054"/>
      <c r="B95" s="2054"/>
      <c r="C95" s="2054"/>
    </row>
    <row r="96" spans="1:3" ht="14.25" x14ac:dyDescent="0.2">
      <c r="A96" s="2054"/>
      <c r="B96" s="2054"/>
      <c r="C96" s="2054"/>
    </row>
    <row r="97" spans="1:3" ht="14.25" x14ac:dyDescent="0.2">
      <c r="A97" s="2054"/>
      <c r="B97" s="2054"/>
      <c r="C97" s="2054"/>
    </row>
    <row r="98" spans="1:3" ht="14.25" x14ac:dyDescent="0.2">
      <c r="A98" s="2054"/>
      <c r="B98" s="2054"/>
      <c r="C98" s="2054"/>
    </row>
    <row r="99" spans="1:3" ht="14.25" x14ac:dyDescent="0.2">
      <c r="A99" s="2054"/>
      <c r="B99" s="2054"/>
      <c r="C99" s="2054"/>
    </row>
    <row r="100" spans="1:3" ht="14.25" x14ac:dyDescent="0.2">
      <c r="A100" s="2054"/>
      <c r="B100" s="2054"/>
      <c r="C100" s="2054"/>
    </row>
    <row r="101" spans="1:3" ht="14.25" x14ac:dyDescent="0.2">
      <c r="A101" s="2054"/>
      <c r="B101" s="2054"/>
      <c r="C101" s="2054"/>
    </row>
    <row r="102" spans="1:3" ht="14.25" x14ac:dyDescent="0.2">
      <c r="A102" s="2054"/>
      <c r="B102" s="2054"/>
      <c r="C102" s="2054"/>
    </row>
    <row r="103" spans="1:3" ht="14.25" x14ac:dyDescent="0.2">
      <c r="A103" s="2054"/>
      <c r="B103" s="2054"/>
      <c r="C103" s="2054"/>
    </row>
    <row r="104" spans="1:3" ht="14.25" x14ac:dyDescent="0.2">
      <c r="A104" s="2054"/>
      <c r="B104" s="2054"/>
      <c r="C104" s="2054"/>
    </row>
    <row r="105" spans="1:3" ht="14.25" x14ac:dyDescent="0.2">
      <c r="A105" s="2054"/>
      <c r="B105" s="2054"/>
      <c r="C105" s="2054"/>
    </row>
    <row r="106" spans="1:3" ht="14.25" x14ac:dyDescent="0.2">
      <c r="A106" s="2054"/>
      <c r="B106" s="2054"/>
      <c r="C106" s="2054"/>
    </row>
    <row r="107" spans="1:3" ht="14.25" x14ac:dyDescent="0.2">
      <c r="A107" s="2054"/>
      <c r="B107" s="2054"/>
      <c r="C107" s="2054"/>
    </row>
    <row r="108" spans="1:3" ht="14.25" x14ac:dyDescent="0.2">
      <c r="A108" s="2054"/>
      <c r="B108" s="2054"/>
      <c r="C108" s="2054"/>
    </row>
    <row r="109" spans="1:3" ht="14.25" x14ac:dyDescent="0.2">
      <c r="A109" s="2054"/>
      <c r="B109" s="2054"/>
      <c r="C109" s="2054"/>
    </row>
    <row r="110" spans="1:3" ht="14.25" x14ac:dyDescent="0.2">
      <c r="A110" s="2054"/>
      <c r="B110" s="2054"/>
      <c r="C110" s="2054"/>
    </row>
    <row r="111" spans="1:3" ht="14.25" x14ac:dyDescent="0.2">
      <c r="A111" s="2054"/>
      <c r="B111" s="2054"/>
      <c r="C111" s="2054"/>
    </row>
    <row r="112" spans="1:3" ht="14.25" x14ac:dyDescent="0.2">
      <c r="A112" s="2054"/>
      <c r="B112" s="2054"/>
      <c r="C112" s="2054"/>
    </row>
    <row r="113" spans="1:3" ht="14.25" x14ac:dyDescent="0.2">
      <c r="A113" s="2054"/>
      <c r="B113" s="2054"/>
      <c r="C113" s="2054"/>
    </row>
    <row r="114" spans="1:3" ht="14.25" x14ac:dyDescent="0.2">
      <c r="A114" s="2054"/>
      <c r="B114" s="2054"/>
      <c r="C114" s="2054"/>
    </row>
    <row r="115" spans="1:3" ht="14.25" x14ac:dyDescent="0.2">
      <c r="A115" s="2054"/>
      <c r="B115" s="2054"/>
      <c r="C115" s="2054"/>
    </row>
    <row r="116" spans="1:3" ht="14.25" x14ac:dyDescent="0.2">
      <c r="A116" s="2054"/>
      <c r="B116" s="2054"/>
      <c r="C116" s="2054"/>
    </row>
    <row r="117" spans="1:3" ht="14.25" x14ac:dyDescent="0.2">
      <c r="A117" s="2054"/>
      <c r="B117" s="2054"/>
      <c r="C117" s="2054"/>
    </row>
    <row r="118" spans="1:3" ht="14.25" x14ac:dyDescent="0.2">
      <c r="A118" s="2054"/>
      <c r="B118" s="2054"/>
      <c r="C118" s="2054"/>
    </row>
    <row r="119" spans="1:3" ht="14.25" x14ac:dyDescent="0.2">
      <c r="A119" s="2054"/>
      <c r="B119" s="2054"/>
      <c r="C119" s="2054"/>
    </row>
    <row r="120" spans="1:3" ht="14.25" x14ac:dyDescent="0.2">
      <c r="A120" s="2054"/>
      <c r="B120" s="2054"/>
      <c r="C120" s="2054"/>
    </row>
    <row r="121" spans="1:3" ht="14.25" x14ac:dyDescent="0.2">
      <c r="A121" s="2054"/>
      <c r="B121" s="2054"/>
      <c r="C121" s="2054"/>
    </row>
    <row r="122" spans="1:3" ht="14.25" x14ac:dyDescent="0.2">
      <c r="A122" s="2054"/>
      <c r="B122" s="2054"/>
      <c r="C122" s="2054"/>
    </row>
    <row r="123" spans="1:3" ht="14.25" x14ac:dyDescent="0.2">
      <c r="A123" s="2054"/>
      <c r="B123" s="2054"/>
      <c r="C123" s="2054"/>
    </row>
    <row r="124" spans="1:3" ht="14.25" x14ac:dyDescent="0.2">
      <c r="A124" s="2054"/>
      <c r="B124" s="2054"/>
      <c r="C124" s="2054"/>
    </row>
    <row r="125" spans="1:3" ht="14.25" x14ac:dyDescent="0.2">
      <c r="A125" s="2054"/>
      <c r="B125" s="2054"/>
      <c r="C125" s="2054"/>
    </row>
    <row r="126" spans="1:3" ht="14.25" x14ac:dyDescent="0.2">
      <c r="A126" s="2054"/>
      <c r="B126" s="2054"/>
      <c r="C126" s="2054"/>
    </row>
    <row r="127" spans="1:3" ht="14.25" x14ac:dyDescent="0.2">
      <c r="A127" s="2054"/>
      <c r="B127" s="2054"/>
      <c r="C127" s="2054"/>
    </row>
    <row r="128" spans="1:3" ht="14.25" x14ac:dyDescent="0.2">
      <c r="A128" s="2054"/>
      <c r="B128" s="2054"/>
      <c r="C128" s="2054"/>
    </row>
    <row r="129" spans="1:3" ht="14.25" x14ac:dyDescent="0.2">
      <c r="A129" s="2054"/>
      <c r="B129" s="2054"/>
      <c r="C129" s="2054"/>
    </row>
    <row r="130" spans="1:3" ht="14.25" x14ac:dyDescent="0.2">
      <c r="A130" s="2054"/>
      <c r="B130" s="2054"/>
      <c r="C130" s="2054"/>
    </row>
    <row r="131" spans="1:3" ht="14.25" x14ac:dyDescent="0.2">
      <c r="A131" s="2054"/>
      <c r="B131" s="2054"/>
      <c r="C131" s="2054"/>
    </row>
    <row r="132" spans="1:3" ht="14.25" x14ac:dyDescent="0.2">
      <c r="A132" s="2054"/>
      <c r="B132" s="2054"/>
      <c r="C132" s="2054"/>
    </row>
    <row r="133" spans="1:3" ht="14.25" x14ac:dyDescent="0.2">
      <c r="A133" s="2054"/>
      <c r="B133" s="2054"/>
      <c r="C133" s="2054"/>
    </row>
    <row r="134" spans="1:3" ht="14.25" x14ac:dyDescent="0.2">
      <c r="A134" s="2054"/>
      <c r="B134" s="2054"/>
      <c r="C134" s="2054"/>
    </row>
    <row r="135" spans="1:3" ht="14.25" x14ac:dyDescent="0.2">
      <c r="A135" s="2054"/>
      <c r="B135" s="2054"/>
      <c r="C135" s="2054"/>
    </row>
    <row r="136" spans="1:3" ht="14.25" x14ac:dyDescent="0.2">
      <c r="A136" s="2054"/>
      <c r="B136" s="2054"/>
      <c r="C136" s="2054"/>
    </row>
    <row r="137" spans="1:3" ht="14.25" x14ac:dyDescent="0.2">
      <c r="A137" s="2054"/>
      <c r="B137" s="2054"/>
      <c r="C137" s="2054"/>
    </row>
    <row r="138" spans="1:3" ht="14.25" x14ac:dyDescent="0.2">
      <c r="A138" s="2054"/>
      <c r="B138" s="2054"/>
      <c r="C138" s="2054"/>
    </row>
    <row r="139" spans="1:3" ht="14.25" x14ac:dyDescent="0.2">
      <c r="A139" s="2054"/>
      <c r="B139" s="2054"/>
      <c r="C139" s="2054"/>
    </row>
    <row r="140" spans="1:3" ht="14.25" x14ac:dyDescent="0.2">
      <c r="A140" s="2054"/>
      <c r="B140" s="2054"/>
      <c r="C140" s="2054"/>
    </row>
    <row r="141" spans="1:3" ht="14.25" x14ac:dyDescent="0.2">
      <c r="A141" s="2054"/>
      <c r="B141" s="2054"/>
      <c r="C141" s="2054"/>
    </row>
    <row r="142" spans="1:3" ht="14.25" x14ac:dyDescent="0.2">
      <c r="A142" s="2054"/>
      <c r="B142" s="2054"/>
      <c r="C142" s="2054"/>
    </row>
    <row r="143" spans="1:3" ht="14.25" x14ac:dyDescent="0.2">
      <c r="A143" s="2054"/>
      <c r="B143" s="2054"/>
      <c r="C143" s="2054"/>
    </row>
    <row r="144" spans="1:3" ht="14.25" x14ac:dyDescent="0.2">
      <c r="A144" s="2054"/>
      <c r="B144" s="2054"/>
      <c r="C144" s="2054"/>
    </row>
    <row r="145" spans="1:3" ht="14.25" x14ac:dyDescent="0.2">
      <c r="A145" s="2054"/>
      <c r="B145" s="2054"/>
      <c r="C145" s="2054"/>
    </row>
    <row r="146" spans="1:3" ht="14.25" x14ac:dyDescent="0.2">
      <c r="A146" s="2054"/>
      <c r="B146" s="2054"/>
      <c r="C146" s="2054"/>
    </row>
    <row r="147" spans="1:3" ht="14.25" x14ac:dyDescent="0.2">
      <c r="A147" s="2054"/>
      <c r="B147" s="2054"/>
      <c r="C147" s="2054"/>
    </row>
    <row r="148" spans="1:3" ht="14.25" x14ac:dyDescent="0.2">
      <c r="A148" s="2054"/>
      <c r="B148" s="2054"/>
      <c r="C148" s="2054"/>
    </row>
    <row r="149" spans="1:3" ht="14.25" x14ac:dyDescent="0.2">
      <c r="A149" s="2054"/>
      <c r="B149" s="2054"/>
      <c r="C149" s="2054"/>
    </row>
    <row r="150" spans="1:3" ht="14.25" x14ac:dyDescent="0.2">
      <c r="A150" s="2054"/>
      <c r="B150" s="2054"/>
      <c r="C150" s="2054"/>
    </row>
    <row r="151" spans="1:3" ht="14.25" x14ac:dyDescent="0.2">
      <c r="A151" s="2054"/>
      <c r="B151" s="2054"/>
      <c r="C151" s="2054"/>
    </row>
    <row r="152" spans="1:3" ht="14.25" x14ac:dyDescent="0.2">
      <c r="A152" s="2054"/>
      <c r="B152" s="2054"/>
      <c r="C152" s="2054"/>
    </row>
    <row r="153" spans="1:3" ht="14.25" x14ac:dyDescent="0.2">
      <c r="A153" s="2054"/>
      <c r="B153" s="2054"/>
      <c r="C153" s="2054"/>
    </row>
    <row r="154" spans="1:3" ht="14.25" x14ac:dyDescent="0.2">
      <c r="A154" s="2054"/>
      <c r="B154" s="2054"/>
      <c r="C154" s="2054"/>
    </row>
    <row r="155" spans="1:3" ht="14.25" x14ac:dyDescent="0.2">
      <c r="A155" s="2054"/>
      <c r="B155" s="2054"/>
      <c r="C155" s="2054"/>
    </row>
  </sheetData>
  <mergeCells count="5">
    <mergeCell ref="A5:F5"/>
    <mergeCell ref="A2:F2"/>
    <mergeCell ref="B3:F3"/>
    <mergeCell ref="B4:C4"/>
    <mergeCell ref="A1:F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opLeftCell="A22" workbookViewId="0">
      <selection activeCell="A16" sqref="A16:G16"/>
    </sheetView>
  </sheetViews>
  <sheetFormatPr defaultRowHeight="12.75" x14ac:dyDescent="0.2"/>
  <cols>
    <col min="1" max="1" width="6.5703125" customWidth="1"/>
    <col min="2" max="2" width="61.5703125" customWidth="1"/>
    <col min="3" max="3" width="4.85546875" customWidth="1"/>
    <col min="4" max="4" width="4.42578125" customWidth="1"/>
    <col min="5" max="5" width="9.28515625" customWidth="1"/>
    <col min="6" max="6" width="5" customWidth="1"/>
    <col min="7" max="7" width="8.5703125" customWidth="1"/>
  </cols>
  <sheetData>
    <row r="1" spans="1:7" ht="13.5" x14ac:dyDescent="0.25">
      <c r="A1" s="3183"/>
      <c r="B1" s="3183"/>
      <c r="C1" s="3181" t="s">
        <v>1364</v>
      </c>
      <c r="D1" s="3181"/>
      <c r="E1" s="3181"/>
      <c r="F1" s="3181"/>
      <c r="G1" s="3181"/>
    </row>
    <row r="2" spans="1:7" ht="13.5" x14ac:dyDescent="0.25">
      <c r="A2" s="3181" t="s">
        <v>470</v>
      </c>
      <c r="B2" s="3181"/>
      <c r="C2" s="3181"/>
      <c r="D2" s="3181"/>
      <c r="E2" s="3181"/>
      <c r="F2" s="3181"/>
      <c r="G2" s="3181"/>
    </row>
    <row r="3" spans="1:7" ht="13.5" x14ac:dyDescent="0.25">
      <c r="A3" s="2948"/>
      <c r="B3" s="3181" t="s">
        <v>1536</v>
      </c>
      <c r="C3" s="3182"/>
      <c r="D3" s="3182"/>
      <c r="E3" s="3182"/>
      <c r="F3" s="3182"/>
      <c r="G3" s="3182"/>
    </row>
    <row r="4" spans="1:7" ht="13.5" x14ac:dyDescent="0.25">
      <c r="A4" s="2948"/>
      <c r="B4" s="3181" t="s">
        <v>194</v>
      </c>
      <c r="C4" s="3181"/>
      <c r="D4" s="3181"/>
      <c r="E4" s="3181"/>
      <c r="F4" s="3181"/>
      <c r="G4" s="3181"/>
    </row>
    <row r="5" spans="1:7" ht="13.5" x14ac:dyDescent="0.25">
      <c r="A5" s="2948"/>
      <c r="B5" s="3181" t="s">
        <v>470</v>
      </c>
      <c r="C5" s="3181"/>
      <c r="D5" s="3181"/>
      <c r="E5" s="3181"/>
      <c r="F5" s="3181"/>
      <c r="G5" s="3181"/>
    </row>
    <row r="6" spans="1:7" ht="13.5" x14ac:dyDescent="0.25">
      <c r="A6" s="2948"/>
      <c r="B6" s="3181" t="s">
        <v>1579</v>
      </c>
      <c r="C6" s="3182"/>
      <c r="D6" s="3182"/>
      <c r="E6" s="3182"/>
      <c r="F6" s="3182"/>
      <c r="G6" s="3182"/>
    </row>
    <row r="7" spans="1:7" ht="13.5" x14ac:dyDescent="0.25">
      <c r="A7" s="2948"/>
      <c r="B7" s="2947"/>
      <c r="C7" s="3181" t="s">
        <v>1364</v>
      </c>
      <c r="D7" s="3181"/>
      <c r="E7" s="3181"/>
      <c r="F7" s="3181"/>
      <c r="G7" s="3181"/>
    </row>
    <row r="8" spans="1:7" ht="13.5" x14ac:dyDescent="0.25">
      <c r="A8" s="3181" t="s">
        <v>470</v>
      </c>
      <c r="B8" s="3181"/>
      <c r="C8" s="3181"/>
      <c r="D8" s="3181"/>
      <c r="E8" s="3181"/>
      <c r="F8" s="3181"/>
      <c r="G8" s="3181"/>
    </row>
    <row r="9" spans="1:7" ht="13.5" x14ac:dyDescent="0.25">
      <c r="A9" s="2948"/>
      <c r="B9" s="3181" t="s">
        <v>1598</v>
      </c>
      <c r="C9" s="3182"/>
      <c r="D9" s="3182"/>
      <c r="E9" s="3182"/>
      <c r="F9" s="3182"/>
      <c r="G9" s="3182"/>
    </row>
    <row r="10" spans="1:7" ht="13.5" x14ac:dyDescent="0.25">
      <c r="A10" s="2948"/>
      <c r="B10" s="2947"/>
      <c r="C10" s="3181" t="s">
        <v>1364</v>
      </c>
      <c r="D10" s="3181"/>
      <c r="E10" s="3181"/>
      <c r="F10" s="3181"/>
      <c r="G10" s="3181"/>
    </row>
    <row r="11" spans="1:7" ht="13.5" x14ac:dyDescent="0.25">
      <c r="A11" s="3181" t="s">
        <v>470</v>
      </c>
      <c r="B11" s="3181"/>
      <c r="C11" s="3181"/>
      <c r="D11" s="3181"/>
      <c r="E11" s="3181"/>
      <c r="F11" s="3181"/>
      <c r="G11" s="3181"/>
    </row>
    <row r="12" spans="1:7" ht="14.25" customHeight="1" x14ac:dyDescent="0.25">
      <c r="A12" s="2948"/>
      <c r="B12" s="3185" t="s">
        <v>1612</v>
      </c>
      <c r="C12" s="3186"/>
      <c r="D12" s="3186"/>
      <c r="E12" s="3186"/>
      <c r="F12" s="3186"/>
      <c r="G12" s="3186"/>
    </row>
    <row r="13" spans="1:7" ht="14.25" customHeight="1" x14ac:dyDescent="0.25">
      <c r="A13" s="2948"/>
      <c r="B13" s="2947"/>
      <c r="C13" s="3181" t="s">
        <v>1364</v>
      </c>
      <c r="D13" s="3181"/>
      <c r="E13" s="3181"/>
      <c r="F13" s="3181"/>
      <c r="G13" s="3181"/>
    </row>
    <row r="14" spans="1:7" ht="14.25" customHeight="1" x14ac:dyDescent="0.25">
      <c r="A14" s="3181" t="s">
        <v>470</v>
      </c>
      <c r="B14" s="3181"/>
      <c r="C14" s="3181"/>
      <c r="D14" s="3181"/>
      <c r="E14" s="3181"/>
      <c r="F14" s="3181"/>
      <c r="G14" s="3181"/>
    </row>
    <row r="15" spans="1:7" ht="14.25" customHeight="1" x14ac:dyDescent="0.25">
      <c r="A15" s="2948"/>
      <c r="B15" s="3185" t="s">
        <v>1620</v>
      </c>
      <c r="C15" s="3186"/>
      <c r="D15" s="3186"/>
      <c r="E15" s="3186"/>
      <c r="F15" s="3186"/>
      <c r="G15" s="3186"/>
    </row>
    <row r="16" spans="1:7" ht="60" customHeight="1" x14ac:dyDescent="0.25">
      <c r="A16" s="3187" t="s">
        <v>1509</v>
      </c>
      <c r="B16" s="3187"/>
      <c r="C16" s="3187"/>
      <c r="D16" s="3187"/>
      <c r="E16" s="3187"/>
      <c r="F16" s="3187"/>
      <c r="G16" s="3187"/>
    </row>
    <row r="17" spans="1:7" ht="15.75" x14ac:dyDescent="0.25">
      <c r="A17" s="3184" t="s">
        <v>1459</v>
      </c>
      <c r="B17" s="3184"/>
      <c r="C17" s="3184"/>
      <c r="D17" s="3184"/>
      <c r="E17" s="3184"/>
      <c r="F17" s="3184"/>
      <c r="G17" s="3184"/>
    </row>
    <row r="18" spans="1:7" ht="14.25" customHeight="1" thickBot="1" x14ac:dyDescent="0.35">
      <c r="A18" s="181"/>
      <c r="B18" s="3012" t="s">
        <v>272</v>
      </c>
      <c r="C18" s="3012"/>
      <c r="D18" s="3012"/>
      <c r="E18" s="3012"/>
      <c r="F18" s="3012"/>
      <c r="G18" s="3012"/>
    </row>
    <row r="19" spans="1:7" ht="13.5" thickBot="1" x14ac:dyDescent="0.25">
      <c r="A19" s="2140" t="s">
        <v>955</v>
      </c>
      <c r="B19" s="2141" t="s">
        <v>273</v>
      </c>
      <c r="C19" s="2141" t="s">
        <v>1395</v>
      </c>
      <c r="D19" s="2141" t="s">
        <v>1396</v>
      </c>
      <c r="E19" s="2141" t="s">
        <v>1397</v>
      </c>
      <c r="F19" s="2141" t="s">
        <v>1398</v>
      </c>
      <c r="G19" s="2220" t="s">
        <v>322</v>
      </c>
    </row>
    <row r="20" spans="1:7" ht="13.5" thickBot="1" x14ac:dyDescent="0.25">
      <c r="A20" s="2225" t="s">
        <v>811</v>
      </c>
      <c r="B20" s="2226">
        <v>2</v>
      </c>
      <c r="C20" s="2226" t="s">
        <v>526</v>
      </c>
      <c r="D20" s="2226" t="s">
        <v>745</v>
      </c>
      <c r="E20" s="2226" t="s">
        <v>349</v>
      </c>
      <c r="F20" s="2226" t="s">
        <v>350</v>
      </c>
      <c r="G20" s="2227">
        <v>7</v>
      </c>
    </row>
    <row r="21" spans="1:7" ht="16.5" customHeight="1" x14ac:dyDescent="0.2">
      <c r="A21" s="2221" t="s">
        <v>811</v>
      </c>
      <c r="B21" s="2222" t="s">
        <v>122</v>
      </c>
      <c r="C21" s="2223" t="s">
        <v>1365</v>
      </c>
      <c r="D21" s="2139"/>
      <c r="E21" s="2139"/>
      <c r="F21" s="2224"/>
      <c r="G21" s="2709">
        <f>G22+G25+G34+G44+G50+G53</f>
        <v>35161.546999999991</v>
      </c>
    </row>
    <row r="22" spans="1:7" ht="27.75" customHeight="1" x14ac:dyDescent="0.2">
      <c r="A22" s="2151" t="s">
        <v>299</v>
      </c>
      <c r="B22" s="2179" t="str">
        <f>Бюд.р.!A59</f>
        <v>Функционирование высшего должностного лица субъекта Российской Федерации и муниципального образования</v>
      </c>
      <c r="C22" s="2166" t="s">
        <v>1365</v>
      </c>
      <c r="D22" s="2135" t="s">
        <v>1366</v>
      </c>
      <c r="E22" s="2135"/>
      <c r="F22" s="2200"/>
      <c r="G22" s="1958">
        <f>G23</f>
        <v>1117.634</v>
      </c>
    </row>
    <row r="23" spans="1:7" ht="15.75" customHeight="1" x14ac:dyDescent="0.2">
      <c r="A23" s="2153" t="s">
        <v>212</v>
      </c>
      <c r="B23" s="2228" t="str">
        <f>Бюд.р.!A60</f>
        <v>ГЛАВА МУНИЦИПАЛЬНОГО ОБРАЗОВАНИЯ</v>
      </c>
      <c r="C23" s="2169" t="s">
        <v>1365</v>
      </c>
      <c r="D23" s="2127" t="s">
        <v>1366</v>
      </c>
      <c r="E23" s="2127" t="str">
        <f>Бюд.р.!D60</f>
        <v>002  01 00</v>
      </c>
      <c r="F23" s="2202"/>
      <c r="G23" s="2146">
        <f>G24</f>
        <v>1117.634</v>
      </c>
    </row>
    <row r="24" spans="1:7" ht="39" customHeight="1" x14ac:dyDescent="0.2">
      <c r="A24" s="2152" t="s">
        <v>213</v>
      </c>
      <c r="B24" s="2180" t="str">
        <f>Бюд.р.!A61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" s="2168" t="str">
        <f>C23</f>
        <v>01</v>
      </c>
      <c r="D24" s="2124" t="str">
        <f>D23</f>
        <v>02</v>
      </c>
      <c r="E24" s="2124" t="str">
        <f>E23</f>
        <v>002  01 00</v>
      </c>
      <c r="F24" s="2201">
        <f>Бюд.р.!F61</f>
        <v>100</v>
      </c>
      <c r="G24" s="2120">
        <f>Бюд.р.!H61</f>
        <v>1117.634</v>
      </c>
    </row>
    <row r="25" spans="1:7" ht="36.75" customHeight="1" x14ac:dyDescent="0.2">
      <c r="A25" s="2151" t="s">
        <v>287</v>
      </c>
      <c r="B25" s="2181" t="str">
        <f>Бюд.р.!A66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25" s="2166" t="s">
        <v>1365</v>
      </c>
      <c r="D25" s="2135" t="s">
        <v>1367</v>
      </c>
      <c r="E25" s="2135"/>
      <c r="F25" s="2200"/>
      <c r="G25" s="1958">
        <f>G26+G28+G30</f>
        <v>3261.1660000000002</v>
      </c>
    </row>
    <row r="26" spans="1:7" ht="24" customHeight="1" x14ac:dyDescent="0.2">
      <c r="A26" s="2153" t="s">
        <v>812</v>
      </c>
      <c r="B26" s="2182" t="str">
        <f>Бюд.р.!A68</f>
        <v>ДЕПУТАТЫ, ОСУЩЕСТВЛЯЮЩИЕ СВОЮ ДЕЯТЕЛЬНОСТЬ НА ПОСТОЯННОЙ ОСНОВЕ</v>
      </c>
      <c r="C26" s="2169" t="str">
        <f>C24</f>
        <v>01</v>
      </c>
      <c r="D26" s="2127" t="str">
        <f t="shared" ref="D26:D32" si="0">D25</f>
        <v>03</v>
      </c>
      <c r="E26" s="2128" t="str">
        <f>Бюд.р.!D68</f>
        <v>002  03 01</v>
      </c>
      <c r="F26" s="2202"/>
      <c r="G26" s="2146">
        <f>G27</f>
        <v>961.04</v>
      </c>
    </row>
    <row r="27" spans="1:7" ht="39.75" customHeight="1" x14ac:dyDescent="0.2">
      <c r="A27" s="2154" t="s">
        <v>813</v>
      </c>
      <c r="B27" s="2183" t="str">
        <f>Бюд.р.!A69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7" s="2168" t="str">
        <f t="shared" ref="C27:C32" si="1">C26</f>
        <v>01</v>
      </c>
      <c r="D27" s="2119" t="str">
        <f t="shared" si="0"/>
        <v>03</v>
      </c>
      <c r="E27" s="2119" t="str">
        <f>E26</f>
        <v>002  03 01</v>
      </c>
      <c r="F27" s="1866">
        <f>Бюд.р.!F69</f>
        <v>100</v>
      </c>
      <c r="G27" s="2120">
        <f>Бюд.р.!H69</f>
        <v>961.04</v>
      </c>
    </row>
    <row r="28" spans="1:7" ht="22.5" x14ac:dyDescent="0.2">
      <c r="A28" s="2153" t="s">
        <v>1383</v>
      </c>
      <c r="B28" s="2182" t="str">
        <f>Бюд.р.!A77</f>
        <v>КОМПЕСАЦИЯ  ДЕПУТАТАМ, ОСУЩЕСТВЛЯЮЩИМ СВОИ ПОЛНОМОЧИЯ НА НЕПОСТОЯННОЙ ОСНОВЕ</v>
      </c>
      <c r="C28" s="2169" t="str">
        <f t="shared" si="1"/>
        <v>01</v>
      </c>
      <c r="D28" s="2128" t="str">
        <f t="shared" si="0"/>
        <v>03</v>
      </c>
      <c r="E28" s="2128" t="str">
        <f>Бюд.р.!D77</f>
        <v>002  03 02</v>
      </c>
      <c r="F28" s="2203"/>
      <c r="G28" s="2146">
        <f>G29</f>
        <v>264.60000000000002</v>
      </c>
    </row>
    <row r="29" spans="1:7" ht="38.25" customHeight="1" x14ac:dyDescent="0.2">
      <c r="A29" s="2152" t="s">
        <v>1399</v>
      </c>
      <c r="B29" s="2183" t="str">
        <f>Бюд.р.!A78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9" s="2168" t="str">
        <f t="shared" si="1"/>
        <v>01</v>
      </c>
      <c r="D29" s="2119" t="str">
        <f t="shared" si="0"/>
        <v>03</v>
      </c>
      <c r="E29" s="2119" t="str">
        <f>E28</f>
        <v>002  03 02</v>
      </c>
      <c r="F29" s="1866">
        <f>Бюд.р.!F78</f>
        <v>100</v>
      </c>
      <c r="G29" s="2120">
        <f>Бюд.р.!H78</f>
        <v>264.60000000000002</v>
      </c>
    </row>
    <row r="30" spans="1:7" ht="16.5" customHeight="1" x14ac:dyDescent="0.2">
      <c r="A30" s="2153" t="s">
        <v>1384</v>
      </c>
      <c r="B30" s="2182" t="str">
        <f>Бюд.р.!A82</f>
        <v>АППАРАТ ПРЕДСТАВИТЕЛЬНОГО ОРГАНА МУНИЦИПАЛЬНОГО ОБРАЗОВАНИЯ</v>
      </c>
      <c r="C30" s="2167" t="str">
        <f t="shared" si="1"/>
        <v>01</v>
      </c>
      <c r="D30" s="2130" t="str">
        <f t="shared" si="0"/>
        <v>03</v>
      </c>
      <c r="E30" s="2130" t="str">
        <f>Бюд.р.!D82</f>
        <v>002  04 00</v>
      </c>
      <c r="F30" s="2204"/>
      <c r="G30" s="2134">
        <f>SUM(G31:G33)</f>
        <v>2035.5260000000003</v>
      </c>
    </row>
    <row r="31" spans="1:7" ht="36.75" customHeight="1" x14ac:dyDescent="0.2">
      <c r="A31" s="2152" t="s">
        <v>1400</v>
      </c>
      <c r="B31" s="2184" t="str">
        <f>Бюд.р.!A83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1" s="2168" t="str">
        <f t="shared" si="1"/>
        <v>01</v>
      </c>
      <c r="D31" s="2119" t="str">
        <f t="shared" si="0"/>
        <v>03</v>
      </c>
      <c r="E31" s="2119" t="str">
        <f>E30</f>
        <v>002  04 00</v>
      </c>
      <c r="F31" s="1866">
        <f>Бюд.р.!F83</f>
        <v>100</v>
      </c>
      <c r="G31" s="2120">
        <f>Бюд.р.!H83</f>
        <v>817.67800000000011</v>
      </c>
    </row>
    <row r="32" spans="1:7" ht="13.5" customHeight="1" x14ac:dyDescent="0.2">
      <c r="A32" s="2152" t="s">
        <v>1401</v>
      </c>
      <c r="B32" s="2184" t="str">
        <f>Бюд.р.!A89</f>
        <v>Закупка товаров, работ и услуг  для государственных (муниципальных) нужд</v>
      </c>
      <c r="C32" s="2168" t="str">
        <f t="shared" si="1"/>
        <v>01</v>
      </c>
      <c r="D32" s="2119" t="str">
        <f t="shared" si="0"/>
        <v>03</v>
      </c>
      <c r="E32" s="2119" t="str">
        <f>E31</f>
        <v>002  04 00</v>
      </c>
      <c r="F32" s="1866">
        <f>Бюд.р.!F89</f>
        <v>200</v>
      </c>
      <c r="G32" s="2120">
        <f>Бюд.р.!H89</f>
        <v>1214.6490000000001</v>
      </c>
    </row>
    <row r="33" spans="1:7" ht="13.5" customHeight="1" x14ac:dyDescent="0.2">
      <c r="A33" s="2152" t="s">
        <v>1453</v>
      </c>
      <c r="B33" s="2184" t="str">
        <f>Бюд.р.!A99</f>
        <v>Иные бюджетные ассигнования</v>
      </c>
      <c r="C33" s="2168" t="str">
        <f>C32</f>
        <v>01</v>
      </c>
      <c r="D33" s="2119" t="str">
        <f>D32</f>
        <v>03</v>
      </c>
      <c r="E33" s="2119" t="str">
        <f>Бюд.р.!D99</f>
        <v>002  04 00</v>
      </c>
      <c r="F33" s="1866">
        <f>Бюд.р.!F99</f>
        <v>800</v>
      </c>
      <c r="G33" s="2120">
        <f>Бюд.р.!H99</f>
        <v>3.1989999999999998</v>
      </c>
    </row>
    <row r="34" spans="1:7" ht="37.5" customHeight="1" x14ac:dyDescent="0.2">
      <c r="A34" s="2151" t="s">
        <v>744</v>
      </c>
      <c r="B34" s="2185" t="str">
        <f>Бюд.р.!A150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34" s="2166" t="s">
        <v>1365</v>
      </c>
      <c r="D34" s="2135" t="s">
        <v>1368</v>
      </c>
      <c r="E34" s="1893"/>
      <c r="F34" s="1949"/>
      <c r="G34" s="1958">
        <f>G35+G37+G42</f>
        <v>26767.585999999996</v>
      </c>
    </row>
    <row r="35" spans="1:7" ht="12.75" customHeight="1" x14ac:dyDescent="0.2">
      <c r="A35" s="2153" t="s">
        <v>497</v>
      </c>
      <c r="B35" s="2186" t="str">
        <f>Бюд.р.!A151</f>
        <v>ГЛАВА МЕСТНОЙ АДМИНИСТРАЦИИ</v>
      </c>
      <c r="C35" s="2170" t="str">
        <f t="shared" ref="C35:D37" si="2">C34</f>
        <v>01</v>
      </c>
      <c r="D35" s="2131" t="str">
        <f t="shared" si="2"/>
        <v>04</v>
      </c>
      <c r="E35" s="2132" t="str">
        <f>Бюд.р.!D151</f>
        <v>002  05 00</v>
      </c>
      <c r="F35" s="2205"/>
      <c r="G35" s="2133">
        <f>G36</f>
        <v>1117.634</v>
      </c>
    </row>
    <row r="36" spans="1:7" ht="34.5" customHeight="1" x14ac:dyDescent="0.2">
      <c r="A36" s="2152" t="s">
        <v>784</v>
      </c>
      <c r="B36" s="2184" t="str">
        <f>Бюд.р.!A152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6" s="2168" t="str">
        <f t="shared" si="2"/>
        <v>01</v>
      </c>
      <c r="D36" s="2124" t="str">
        <f t="shared" si="2"/>
        <v>04</v>
      </c>
      <c r="E36" s="2119" t="str">
        <f>E35</f>
        <v>002  05 00</v>
      </c>
      <c r="F36" s="1866">
        <f>Бюд.р.!F152</f>
        <v>100</v>
      </c>
      <c r="G36" s="2120">
        <f>Бюд.р.!H152</f>
        <v>1117.634</v>
      </c>
    </row>
    <row r="37" spans="1:7" ht="26.25" customHeight="1" x14ac:dyDescent="0.2">
      <c r="A37" s="2153" t="s">
        <v>1385</v>
      </c>
      <c r="B37" s="2187" t="str">
        <f>Бюд.р.!A158</f>
        <v>СОДЕРЖАНИЕ И ОБЕСПЕЧЕНИЕ ДЕЯТЕЛЬНОСТИ МЕСТНОЙ АДМИНИСТРАЦИИ ПО РЕШЕНИЮ ВОПРОСОВ МЕСТНОГО ЗНАЧЕНИЯ</v>
      </c>
      <c r="C37" s="2167" t="str">
        <f t="shared" si="2"/>
        <v>01</v>
      </c>
      <c r="D37" s="2126" t="str">
        <f t="shared" si="2"/>
        <v>04</v>
      </c>
      <c r="E37" s="2130" t="str">
        <f>Бюд.р.!D158</f>
        <v>002  06 01</v>
      </c>
      <c r="F37" s="2204"/>
      <c r="G37" s="2134">
        <f>SUM(G38:G41)</f>
        <v>25644.351999999999</v>
      </c>
    </row>
    <row r="38" spans="1:7" ht="33.75" customHeight="1" x14ac:dyDescent="0.2">
      <c r="A38" s="2155" t="s">
        <v>1402</v>
      </c>
      <c r="B38" s="2184" t="str">
        <f>Бюд.р.!A159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8" s="2171" t="str">
        <f>C36</f>
        <v>01</v>
      </c>
      <c r="D38" s="2124" t="str">
        <f>D36</f>
        <v>04</v>
      </c>
      <c r="E38" s="1867" t="str">
        <f>Бюд.р.!D159</f>
        <v>002  06 01</v>
      </c>
      <c r="F38" s="1868">
        <f>Бюд.р.!F159</f>
        <v>100</v>
      </c>
      <c r="G38" s="2122">
        <f>Бюд.р.!H159</f>
        <v>19631.649000000001</v>
      </c>
    </row>
    <row r="39" spans="1:7" ht="17.25" customHeight="1" x14ac:dyDescent="0.2">
      <c r="A39" s="2155" t="s">
        <v>1403</v>
      </c>
      <c r="B39" s="2188" t="str">
        <f>Бюд.р.!A165</f>
        <v>Закупка товаров, работ и услуг  для государственных (муниципальных) нужд</v>
      </c>
      <c r="C39" s="2171" t="str">
        <f>C38</f>
        <v>01</v>
      </c>
      <c r="D39" s="2124" t="str">
        <f>D38</f>
        <v>04</v>
      </c>
      <c r="E39" s="1867" t="str">
        <f>E38</f>
        <v>002  06 01</v>
      </c>
      <c r="F39" s="1868">
        <f>Бюд.р.!F165</f>
        <v>200</v>
      </c>
      <c r="G39" s="2122">
        <f>Бюд.р.!H165</f>
        <v>5925.0360000000001</v>
      </c>
    </row>
    <row r="40" spans="1:7" ht="17.25" customHeight="1" x14ac:dyDescent="0.2">
      <c r="A40" s="2155" t="s">
        <v>1404</v>
      </c>
      <c r="B40" s="2188" t="str">
        <f>Бюд.р.!A187</f>
        <v>Социальное обеспечение и иные выплаты населению</v>
      </c>
      <c r="C40" s="2171" t="s">
        <v>1365</v>
      </c>
      <c r="D40" s="2124" t="s">
        <v>1368</v>
      </c>
      <c r="E40" s="1867" t="s">
        <v>77</v>
      </c>
      <c r="F40" s="1868">
        <f>Бюд.р.!F187</f>
        <v>300</v>
      </c>
      <c r="G40" s="2122">
        <f>Бюд.р.!H187</f>
        <v>57.067</v>
      </c>
    </row>
    <row r="41" spans="1:7" ht="15.75" customHeight="1" x14ac:dyDescent="0.2">
      <c r="A41" s="2155" t="s">
        <v>1490</v>
      </c>
      <c r="B41" s="2188" t="str">
        <f>Бюд.р.!A201</f>
        <v>Иные бюджетные ассигнования</v>
      </c>
      <c r="C41" s="2171" t="str">
        <f>C39</f>
        <v>01</v>
      </c>
      <c r="D41" s="2124" t="str">
        <f>D39</f>
        <v>04</v>
      </c>
      <c r="E41" s="1867" t="str">
        <f>E39</f>
        <v>002  06 01</v>
      </c>
      <c r="F41" s="1868">
        <f>Бюд.р.!F201</f>
        <v>800</v>
      </c>
      <c r="G41" s="2122">
        <f>Бюд.р.!H201</f>
        <v>30.6</v>
      </c>
    </row>
    <row r="42" spans="1:7" ht="35.25" customHeight="1" x14ac:dyDescent="0.2">
      <c r="A42" s="2156" t="s">
        <v>1386</v>
      </c>
      <c r="B42" s="2189" t="str">
        <f>Бюд.р.!A208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42" s="2169" t="str">
        <f>C41</f>
        <v>01</v>
      </c>
      <c r="D42" s="2127" t="str">
        <f>D41</f>
        <v>04</v>
      </c>
      <c r="E42" s="2128" t="str">
        <f>Бюд.р.!D208</f>
        <v>002  80 10</v>
      </c>
      <c r="F42" s="2203"/>
      <c r="G42" s="2147">
        <f>G43</f>
        <v>5.6</v>
      </c>
    </row>
    <row r="43" spans="1:7" ht="16.5" customHeight="1" x14ac:dyDescent="0.2">
      <c r="A43" s="2155" t="s">
        <v>1405</v>
      </c>
      <c r="B43" s="2188" t="str">
        <f>Бюд.р.!A209</f>
        <v>Закупка товаров, работ и услуг  для государственных (муниципальных) нужд</v>
      </c>
      <c r="C43" s="2171" t="str">
        <f>C42</f>
        <v>01</v>
      </c>
      <c r="D43" s="2124" t="str">
        <f>D42</f>
        <v>04</v>
      </c>
      <c r="E43" s="1867" t="str">
        <f>E42</f>
        <v>002  80 10</v>
      </c>
      <c r="F43" s="1868">
        <f>Бюд.р.!F209</f>
        <v>200</v>
      </c>
      <c r="G43" s="2122">
        <f>Бюд.р.!H209</f>
        <v>5.6</v>
      </c>
    </row>
    <row r="44" spans="1:7" hidden="1" x14ac:dyDescent="0.2">
      <c r="A44" s="2151" t="s">
        <v>496</v>
      </c>
      <c r="B44" s="2190" t="str">
        <f>Бюд.р.!A9</f>
        <v>Обеспечение проведения выборов и референдумов</v>
      </c>
      <c r="C44" s="2166" t="s">
        <v>1365</v>
      </c>
      <c r="D44" s="2135" t="s">
        <v>1370</v>
      </c>
      <c r="E44" s="1893"/>
      <c r="F44" s="1949"/>
      <c r="G44" s="1958">
        <f>G45+G48</f>
        <v>0</v>
      </c>
    </row>
    <row r="45" spans="1:7" ht="12.75" hidden="1" customHeight="1" x14ac:dyDescent="0.2">
      <c r="A45" s="2153" t="s">
        <v>1382</v>
      </c>
      <c r="B45" s="2189" t="str">
        <f>Бюд.р.!A11</f>
        <v>Проведение выборов в представительные органы муниципального образования</v>
      </c>
      <c r="C45" s="2169" t="str">
        <f t="shared" ref="C45:D47" si="3">C44</f>
        <v>01</v>
      </c>
      <c r="D45" s="2127" t="str">
        <f t="shared" si="3"/>
        <v>07</v>
      </c>
      <c r="E45" s="2128" t="str">
        <f>Бюд.р.!D11</f>
        <v>020 01 01</v>
      </c>
      <c r="F45" s="2203"/>
      <c r="G45" s="2147">
        <f>SUM(G46:G47)</f>
        <v>0</v>
      </c>
    </row>
    <row r="46" spans="1:7" ht="36.75" hidden="1" customHeight="1" x14ac:dyDescent="0.2">
      <c r="A46" s="2155" t="s">
        <v>785</v>
      </c>
      <c r="B46" s="2188" t="str">
        <f>Бюд.р.!A12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2171" t="str">
        <f t="shared" si="3"/>
        <v>01</v>
      </c>
      <c r="D46" s="2125" t="str">
        <f t="shared" si="3"/>
        <v>07</v>
      </c>
      <c r="E46" s="1867" t="str">
        <f>E45</f>
        <v>020 01 01</v>
      </c>
      <c r="F46" s="1868">
        <f>Бюд.р.!F12</f>
        <v>100</v>
      </c>
      <c r="G46" s="2122">
        <f>Бюд.р.!H12</f>
        <v>0</v>
      </c>
    </row>
    <row r="47" spans="1:7" ht="15" hidden="1" customHeight="1" x14ac:dyDescent="0.2">
      <c r="A47" s="2154" t="s">
        <v>1406</v>
      </c>
      <c r="B47" s="2184" t="str">
        <f>Бюд.р.!A15</f>
        <v>Закупка товаров, работ и услуг  для государственных (муниципальных) нужд</v>
      </c>
      <c r="C47" s="2168" t="str">
        <f t="shared" si="3"/>
        <v>01</v>
      </c>
      <c r="D47" s="2124" t="str">
        <f t="shared" si="3"/>
        <v>07</v>
      </c>
      <c r="E47" s="2123" t="str">
        <f>E46</f>
        <v>020 01 01</v>
      </c>
      <c r="F47" s="2206">
        <f>Бюд.р.!F15</f>
        <v>200</v>
      </c>
      <c r="G47" s="2120">
        <f>Бюд.р.!H15</f>
        <v>0</v>
      </c>
    </row>
    <row r="48" spans="1:7" ht="13.5" hidden="1" customHeight="1" x14ac:dyDescent="0.2">
      <c r="A48" s="2153" t="s">
        <v>1394</v>
      </c>
      <c r="B48" s="2216" t="str">
        <f>Бюд.р.!A26</f>
        <v>Повышение правовой культуры избирателей и обучение организаторов выборов</v>
      </c>
      <c r="C48" s="2172" t="str">
        <f>C47</f>
        <v>01</v>
      </c>
      <c r="D48" s="2137" t="str">
        <f>D47</f>
        <v>07</v>
      </c>
      <c r="E48" s="2129" t="str">
        <f>Бюд.р.!D26</f>
        <v>020 01 03</v>
      </c>
      <c r="F48" s="2207"/>
      <c r="G48" s="2146">
        <f>G49</f>
        <v>0</v>
      </c>
    </row>
    <row r="49" spans="1:7" ht="17.25" hidden="1" customHeight="1" x14ac:dyDescent="0.2">
      <c r="A49" s="2154" t="s">
        <v>1407</v>
      </c>
      <c r="B49" s="2217" t="str">
        <f>Бюд.р.!A27</f>
        <v>Закупка товаров, работ и услуг  для государственных (муниципальных) нужд</v>
      </c>
      <c r="C49" s="2168" t="str">
        <f>C48</f>
        <v>01</v>
      </c>
      <c r="D49" s="2124" t="str">
        <f>D48</f>
        <v>07</v>
      </c>
      <c r="E49" s="2123" t="str">
        <f>E48</f>
        <v>020 01 03</v>
      </c>
      <c r="F49" s="2206">
        <f>Бюд.р.!F27</f>
        <v>200</v>
      </c>
      <c r="G49" s="2120">
        <f>Бюд.р.!H27</f>
        <v>0</v>
      </c>
    </row>
    <row r="50" spans="1:7" x14ac:dyDescent="0.2">
      <c r="A50" s="2151" t="s">
        <v>496</v>
      </c>
      <c r="B50" s="2190" t="str">
        <f>Бюд.р.!A220</f>
        <v>Резервные фонды</v>
      </c>
      <c r="C50" s="2166" t="s">
        <v>1365</v>
      </c>
      <c r="D50" s="1893">
        <v>11</v>
      </c>
      <c r="E50" s="2136"/>
      <c r="F50" s="1949"/>
      <c r="G50" s="1958">
        <f>G51</f>
        <v>2739.1710000000003</v>
      </c>
    </row>
    <row r="51" spans="1:7" x14ac:dyDescent="0.2">
      <c r="A51" s="2157" t="s">
        <v>1382</v>
      </c>
      <c r="B51" s="2186" t="str">
        <f>Бюд.р.!A221</f>
        <v>Резервный фонд местной администрации</v>
      </c>
      <c r="C51" s="2169" t="str">
        <f>C50</f>
        <v>01</v>
      </c>
      <c r="D51" s="2128">
        <f>D50</f>
        <v>11</v>
      </c>
      <c r="E51" s="2128" t="str">
        <f>Бюд.р.!D221</f>
        <v>070 01 01</v>
      </c>
      <c r="F51" s="2203"/>
      <c r="G51" s="2146">
        <f>G52</f>
        <v>2739.1710000000003</v>
      </c>
    </row>
    <row r="52" spans="1:7" x14ac:dyDescent="0.2">
      <c r="A52" s="2152" t="s">
        <v>785</v>
      </c>
      <c r="B52" s="2184" t="str">
        <f>Бюд.р.!A222</f>
        <v>Иные бюджетные ассигнования</v>
      </c>
      <c r="C52" s="2168" t="str">
        <f>C51</f>
        <v>01</v>
      </c>
      <c r="D52" s="2119">
        <f>D51</f>
        <v>11</v>
      </c>
      <c r="E52" s="2123" t="str">
        <f>E51</f>
        <v>070 01 01</v>
      </c>
      <c r="F52" s="2208">
        <f>Бюд.р.!F222</f>
        <v>800</v>
      </c>
      <c r="G52" s="2120">
        <f>Бюд.р.!H222</f>
        <v>2739.1710000000003</v>
      </c>
    </row>
    <row r="53" spans="1:7" x14ac:dyDescent="0.2">
      <c r="A53" s="2151" t="s">
        <v>786</v>
      </c>
      <c r="B53" s="2185" t="str">
        <f>Бюд.р.!A226</f>
        <v>Другие общегосударственные вопросы</v>
      </c>
      <c r="C53" s="2166" t="s">
        <v>1365</v>
      </c>
      <c r="D53" s="2135" t="s">
        <v>583</v>
      </c>
      <c r="E53" s="1893"/>
      <c r="F53" s="1949"/>
      <c r="G53" s="1958">
        <f>G54+G56+G58+G60+G62+G66+G64</f>
        <v>1275.99</v>
      </c>
    </row>
    <row r="54" spans="1:7" ht="22.5" x14ac:dyDescent="0.2">
      <c r="A54" s="2157" t="s">
        <v>787</v>
      </c>
      <c r="B54" s="2192" t="str">
        <f>Бюд.р.!A227</f>
        <v>ФОРМИРОВАНИЕ АРХИВНЫХ ФОНДОВ ОРГАНОВ МЕСТНОГО САМОУПРАВЛЕНИЯ,МУНИЦИПАЛЬНЫХ ПРЕДПРИЯТИЙ И УЧРЕЖДЕНИЙ</v>
      </c>
      <c r="C54" s="2169" t="str">
        <f t="shared" ref="C54:C61" si="4">C53</f>
        <v>01</v>
      </c>
      <c r="D54" s="2127" t="str">
        <f t="shared" ref="D54:D61" si="5">D53</f>
        <v>13</v>
      </c>
      <c r="E54" s="2129" t="str">
        <f>Бюд.р.!D227</f>
        <v>090 01 00</v>
      </c>
      <c r="F54" s="2203"/>
      <c r="G54" s="2146">
        <f>G55</f>
        <v>109.65</v>
      </c>
    </row>
    <row r="55" spans="1:7" ht="15.75" customHeight="1" x14ac:dyDescent="0.2">
      <c r="A55" s="2152" t="s">
        <v>788</v>
      </c>
      <c r="B55" s="2217" t="str">
        <f>Бюд.р.!A228</f>
        <v>Закупка товаров, работ и услуг  для государственных (муниципальных) нужд</v>
      </c>
      <c r="C55" s="2168" t="str">
        <f t="shared" si="4"/>
        <v>01</v>
      </c>
      <c r="D55" s="2124" t="str">
        <f t="shared" si="5"/>
        <v>13</v>
      </c>
      <c r="E55" s="2119" t="str">
        <f>E54</f>
        <v>090 01 00</v>
      </c>
      <c r="F55" s="1866">
        <f>Бюд.р.!F228</f>
        <v>200</v>
      </c>
      <c r="G55" s="2120">
        <f>Бюд.р.!H228</f>
        <v>109.65</v>
      </c>
    </row>
    <row r="56" spans="1:7" ht="22.5" x14ac:dyDescent="0.2">
      <c r="A56" s="2157" t="s">
        <v>1494</v>
      </c>
      <c r="B56" s="2186" t="str">
        <f>Бюд.р.!A240</f>
        <v>РАСХОДЫ НА ОСУЩЕСТВЛЕНИЕ ЗАКУПОК ТОВАРОВ, РАБОТ, УСЛУГ ДЛЯ ОБЕСПЕЧЕНИЯ МУНИЦИПАЛЬНЫХ НУЖД</v>
      </c>
      <c r="C56" s="2172" t="s">
        <v>1365</v>
      </c>
      <c r="D56" s="2137" t="s">
        <v>583</v>
      </c>
      <c r="E56" s="2138" t="str">
        <f>Бюд.р.!D240</f>
        <v>092 02 00</v>
      </c>
      <c r="F56" s="2209"/>
      <c r="G56" s="2147">
        <f>G57</f>
        <v>400</v>
      </c>
    </row>
    <row r="57" spans="1:7" ht="14.25" customHeight="1" x14ac:dyDescent="0.2">
      <c r="A57" s="2152" t="s">
        <v>1500</v>
      </c>
      <c r="B57" s="2193" t="str">
        <f>Бюд.р.!A241</f>
        <v>Закупка товаров, работ и услуг  для государственных (муниципальных) нужд</v>
      </c>
      <c r="C57" s="2168" t="str">
        <f t="shared" si="4"/>
        <v>01</v>
      </c>
      <c r="D57" s="2124" t="str">
        <f t="shared" si="5"/>
        <v>13</v>
      </c>
      <c r="E57" s="2119" t="str">
        <f>E56</f>
        <v>092 02 00</v>
      </c>
      <c r="F57" s="1866">
        <f>Бюд.р.!F241</f>
        <v>200</v>
      </c>
      <c r="G57" s="2120">
        <f>Бюд.р.!H241</f>
        <v>400</v>
      </c>
    </row>
    <row r="58" spans="1:7" ht="32.25" customHeight="1" x14ac:dyDescent="0.2">
      <c r="A58" s="2157" t="s">
        <v>1495</v>
      </c>
      <c r="B58" s="2186" t="str">
        <f>Бюд.р.!A104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58" s="2169" t="str">
        <f t="shared" si="4"/>
        <v>01</v>
      </c>
      <c r="D58" s="2127" t="str">
        <f t="shared" si="5"/>
        <v>13</v>
      </c>
      <c r="E58" s="2128" t="str">
        <f>E59</f>
        <v>092 05 00</v>
      </c>
      <c r="F58" s="2203"/>
      <c r="G58" s="2146">
        <f>G59</f>
        <v>72</v>
      </c>
    </row>
    <row r="59" spans="1:7" x14ac:dyDescent="0.2">
      <c r="A59" s="2152" t="s">
        <v>1501</v>
      </c>
      <c r="B59" s="2193" t="str">
        <f>Бюд.р.!A105</f>
        <v>Иные бюджетные ассигнования</v>
      </c>
      <c r="C59" s="2171" t="str">
        <f t="shared" si="4"/>
        <v>01</v>
      </c>
      <c r="D59" s="2124" t="str">
        <f t="shared" si="5"/>
        <v>13</v>
      </c>
      <c r="E59" s="1867" t="str">
        <f>Бюд.р.!D105</f>
        <v>092 05 00</v>
      </c>
      <c r="F59" s="1868">
        <f>Бюд.р.!F105</f>
        <v>800</v>
      </c>
      <c r="G59" s="2122">
        <f>Бюд.р.!H246</f>
        <v>72</v>
      </c>
    </row>
    <row r="60" spans="1:7" ht="47.25" customHeight="1" x14ac:dyDescent="0.2">
      <c r="A60" s="2157" t="s">
        <v>1496</v>
      </c>
      <c r="B60" s="2186" t="str">
        <f>Бюд.р.!A250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0" s="2172" t="str">
        <f t="shared" si="4"/>
        <v>01</v>
      </c>
      <c r="D60" s="2127" t="str">
        <f t="shared" si="5"/>
        <v>13</v>
      </c>
      <c r="E60" s="2138" t="str">
        <f>Бюд.р.!D250</f>
        <v>092 06 00</v>
      </c>
      <c r="F60" s="2209"/>
      <c r="G60" s="2147">
        <f>G61</f>
        <v>333.91999999999996</v>
      </c>
    </row>
    <row r="61" spans="1:7" ht="17.25" customHeight="1" x14ac:dyDescent="0.2">
      <c r="A61" s="2152" t="s">
        <v>1502</v>
      </c>
      <c r="B61" s="2188" t="str">
        <f>Бюд.р.!A251</f>
        <v>Закупка товаров, работ и услуг  для государственных (муниципальных) нужд</v>
      </c>
      <c r="C61" s="2171" t="str">
        <f t="shared" si="4"/>
        <v>01</v>
      </c>
      <c r="D61" s="2124" t="str">
        <f t="shared" si="5"/>
        <v>13</v>
      </c>
      <c r="E61" s="1867" t="str">
        <f>E60</f>
        <v>092 06 00</v>
      </c>
      <c r="F61" s="1868">
        <f>Бюд.р.!F251</f>
        <v>200</v>
      </c>
      <c r="G61" s="2122">
        <f>Бюд.р.!H251</f>
        <v>333.91999999999996</v>
      </c>
    </row>
    <row r="62" spans="1:7" ht="14.25" customHeight="1" x14ac:dyDescent="0.2">
      <c r="A62" s="2153" t="s">
        <v>1497</v>
      </c>
      <c r="B62" s="2182" t="str">
        <f>Бюд.р.!A261</f>
        <v>РАСХОДЫ НА ОСУЩЕСТВЛЕНИЕ ЗАЩИТЫ ПРАВ ПОТРЕБИТЕЛЕЙ</v>
      </c>
      <c r="C62" s="2169" t="s">
        <v>1365</v>
      </c>
      <c r="D62" s="2127" t="s">
        <v>583</v>
      </c>
      <c r="E62" s="2128" t="str">
        <f>Бюд.р.!D261</f>
        <v>092 10 00</v>
      </c>
      <c r="F62" s="2211"/>
      <c r="G62" s="2146">
        <f>G63</f>
        <v>133.91999999999999</v>
      </c>
    </row>
    <row r="63" spans="1:7" ht="15.75" customHeight="1" x14ac:dyDescent="0.2">
      <c r="A63" s="2152" t="s">
        <v>1503</v>
      </c>
      <c r="B63" s="2183" t="str">
        <f>Бюд.р.!A262</f>
        <v>Закупка товаров, работ и услуг  для государственных (муниципальных) нужд</v>
      </c>
      <c r="C63" s="2168" t="s">
        <v>1365</v>
      </c>
      <c r="D63" s="2124" t="s">
        <v>583</v>
      </c>
      <c r="E63" s="2119" t="str">
        <f>Бюд.р.!D262</f>
        <v>092 10 00</v>
      </c>
      <c r="F63" s="2210">
        <f>Бюд.р.!F262</f>
        <v>200</v>
      </c>
      <c r="G63" s="2120">
        <f>Бюд.р.!H262</f>
        <v>133.91999999999999</v>
      </c>
    </row>
    <row r="64" spans="1:7" ht="29.25" customHeight="1" x14ac:dyDescent="0.2">
      <c r="A64" s="2153" t="s">
        <v>1498</v>
      </c>
      <c r="B64" s="2182" t="str">
        <f>Бюд.р.!A266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64" s="2169" t="s">
        <v>1365</v>
      </c>
      <c r="D64" s="2127" t="s">
        <v>583</v>
      </c>
      <c r="E64" s="2128" t="str">
        <f>Бюд.р.!D266</f>
        <v>795 02 00</v>
      </c>
      <c r="F64" s="2211"/>
      <c r="G64" s="2146">
        <f>G65</f>
        <v>90</v>
      </c>
    </row>
    <row r="65" spans="1:7" ht="15.75" customHeight="1" x14ac:dyDescent="0.2">
      <c r="A65" s="2152" t="s">
        <v>1504</v>
      </c>
      <c r="B65" s="2183" t="str">
        <f>Бюд.р.!A267</f>
        <v>Закупка товаров, работ и услуг  для государственных (муниципальных) нужд</v>
      </c>
      <c r="C65" s="2168" t="s">
        <v>1365</v>
      </c>
      <c r="D65" s="2124" t="s">
        <v>583</v>
      </c>
      <c r="E65" s="2119" t="str">
        <f>Бюд.р.!D272</f>
        <v>795 02 00</v>
      </c>
      <c r="F65" s="2210">
        <f>Бюд.р.!F267</f>
        <v>200</v>
      </c>
      <c r="G65" s="2120">
        <f>Бюд.р.!H267</f>
        <v>90</v>
      </c>
    </row>
    <row r="66" spans="1:7" ht="51" customHeight="1" x14ac:dyDescent="0.2">
      <c r="A66" s="2153" t="s">
        <v>1499</v>
      </c>
      <c r="B66" s="2182" t="str">
        <f>Бюд.р.!A273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66" s="2169" t="s">
        <v>1365</v>
      </c>
      <c r="D66" s="2127" t="s">
        <v>583</v>
      </c>
      <c r="E66" s="2128" t="str">
        <f>Бюд.р.!D273</f>
        <v>795 11 00</v>
      </c>
      <c r="F66" s="2211"/>
      <c r="G66" s="2146">
        <f>G67</f>
        <v>136.5</v>
      </c>
    </row>
    <row r="67" spans="1:7" ht="15.75" customHeight="1" x14ac:dyDescent="0.2">
      <c r="A67" s="2152" t="s">
        <v>1505</v>
      </c>
      <c r="B67" s="2183" t="str">
        <f>Бюд.р.!A274</f>
        <v>Закупка товаров, работ и услуг  для государственных (муниципальных) нужд</v>
      </c>
      <c r="C67" s="2168" t="s">
        <v>1365</v>
      </c>
      <c r="D67" s="2124" t="s">
        <v>583</v>
      </c>
      <c r="E67" s="2119" t="str">
        <f>Бюд.р.!D274</f>
        <v>795 11 00</v>
      </c>
      <c r="F67" s="2210">
        <f>Бюд.р.!F274</f>
        <v>200</v>
      </c>
      <c r="G67" s="2120">
        <f>Бюд.р.!H274</f>
        <v>136.5</v>
      </c>
    </row>
    <row r="68" spans="1:7" ht="26.25" customHeight="1" x14ac:dyDescent="0.2">
      <c r="A68" s="2151" t="s">
        <v>127</v>
      </c>
      <c r="B68" s="2181" t="str">
        <f>Бюд.р.!A279</f>
        <v>НАЦИОНАЛЬНАЯ БЕЗОПАСНОСТЬ И ПРАВООХРАНИТЕЛЬНАЯ ДЕЯТЕЛЬНОСТЬ</v>
      </c>
      <c r="C68" s="2166" t="s">
        <v>1367</v>
      </c>
      <c r="D68" s="2135"/>
      <c r="E68" s="1893"/>
      <c r="F68" s="1949"/>
      <c r="G68" s="2710">
        <f>G69</f>
        <v>276.351</v>
      </c>
    </row>
    <row r="69" spans="1:7" ht="27" customHeight="1" x14ac:dyDescent="0.2">
      <c r="A69" s="2151" t="s">
        <v>334</v>
      </c>
      <c r="B69" s="2949" t="str">
        <f>Бюд.р.!A280</f>
        <v>Защита населения и территории от чрезвычайных ситуаций природного и техногенного характера, гражданская оборона</v>
      </c>
      <c r="C69" s="2166" t="str">
        <f>C68</f>
        <v>03</v>
      </c>
      <c r="D69" s="2135" t="s">
        <v>1371</v>
      </c>
      <c r="E69" s="1893"/>
      <c r="F69" s="1949"/>
      <c r="G69" s="1958">
        <f>G70+G72</f>
        <v>276.351</v>
      </c>
    </row>
    <row r="70" spans="1:7" ht="92.25" customHeight="1" x14ac:dyDescent="0.2">
      <c r="A70" s="2153" t="s">
        <v>217</v>
      </c>
      <c r="B70" s="2191" t="str">
        <f>Бюд.р.!A281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0" s="2169" t="s">
        <v>1367</v>
      </c>
      <c r="D70" s="2127" t="s">
        <v>1371</v>
      </c>
      <c r="E70" s="2128" t="str">
        <f>Бюд.р.!D281</f>
        <v>795 03 00</v>
      </c>
      <c r="F70" s="2203"/>
      <c r="G70" s="2146">
        <f>G71</f>
        <v>151.351</v>
      </c>
    </row>
    <row r="71" spans="1:7" ht="15" customHeight="1" x14ac:dyDescent="0.2">
      <c r="A71" s="2152" t="s">
        <v>218</v>
      </c>
      <c r="B71" s="2217" t="str">
        <f>Бюд.р.!A282</f>
        <v>Закупка товаров, работ и услуг  для государственных (муниципальных) нужд</v>
      </c>
      <c r="C71" s="2168" t="str">
        <f>C70</f>
        <v>03</v>
      </c>
      <c r="D71" s="2124" t="str">
        <f>D70</f>
        <v>09</v>
      </c>
      <c r="E71" s="2119" t="str">
        <f>E70</f>
        <v>795 03 00</v>
      </c>
      <c r="F71" s="1866">
        <f>Бюд.р.!F282</f>
        <v>200</v>
      </c>
      <c r="G71" s="2120">
        <f>Бюд.р.!H282</f>
        <v>151.351</v>
      </c>
    </row>
    <row r="72" spans="1:7" ht="36" customHeight="1" x14ac:dyDescent="0.2">
      <c r="A72" s="2153" t="s">
        <v>578</v>
      </c>
      <c r="B72" s="2187" t="str">
        <f>Бюд.р.!A302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72" s="2173" t="str">
        <f>C71</f>
        <v>03</v>
      </c>
      <c r="D72" s="2148" t="str">
        <f>D71</f>
        <v>09</v>
      </c>
      <c r="E72" s="2145" t="str">
        <f>Бюд.р.!D302</f>
        <v>795 05 00</v>
      </c>
      <c r="F72" s="2211"/>
      <c r="G72" s="2146">
        <f>G73</f>
        <v>125</v>
      </c>
    </row>
    <row r="73" spans="1:7" ht="13.5" customHeight="1" x14ac:dyDescent="0.2">
      <c r="A73" s="2155" t="s">
        <v>219</v>
      </c>
      <c r="B73" s="2219" t="str">
        <f>Бюд.р.!A303</f>
        <v>Закупка товаров, работ и услуг  для государственных (муниципальных) нужд</v>
      </c>
      <c r="C73" s="2174" t="str">
        <f>C72</f>
        <v>03</v>
      </c>
      <c r="D73" s="2118" t="str">
        <f>D72</f>
        <v>09</v>
      </c>
      <c r="E73" s="2121" t="str">
        <f>E72</f>
        <v>795 05 00</v>
      </c>
      <c r="F73" s="2210">
        <f>Бюд.р.!F303</f>
        <v>200</v>
      </c>
      <c r="G73" s="2120">
        <f>Бюд.р.!H303</f>
        <v>125</v>
      </c>
    </row>
    <row r="74" spans="1:7" ht="16.5" customHeight="1" x14ac:dyDescent="0.2">
      <c r="A74" s="2149">
        <v>3</v>
      </c>
      <c r="B74" s="2949" t="str">
        <f>Бюд.р.!A308</f>
        <v>НАЦИОНАЛЬНАЯ ЭКОНОМИКА</v>
      </c>
      <c r="C74" s="2166" t="s">
        <v>1368</v>
      </c>
      <c r="D74" s="2135"/>
      <c r="E74" s="1893"/>
      <c r="F74" s="1949"/>
      <c r="G74" s="2710">
        <f>G75+G78</f>
        <v>186.5</v>
      </c>
    </row>
    <row r="75" spans="1:7" ht="17.25" customHeight="1" x14ac:dyDescent="0.2">
      <c r="A75" s="2151" t="s">
        <v>289</v>
      </c>
      <c r="B75" s="2949" t="str">
        <f>Бюд.р.!A309</f>
        <v>Общеэкономические вопросы</v>
      </c>
      <c r="C75" s="2166" t="s">
        <v>1368</v>
      </c>
      <c r="D75" s="2135" t="s">
        <v>1365</v>
      </c>
      <c r="E75" s="1893"/>
      <c r="F75" s="1949"/>
      <c r="G75" s="1958">
        <f>G76</f>
        <v>166.5</v>
      </c>
    </row>
    <row r="76" spans="1:7" ht="22.5" x14ac:dyDescent="0.2">
      <c r="A76" s="2153" t="s">
        <v>225</v>
      </c>
      <c r="B76" s="2194" t="str">
        <f>Бюд.р.!A310</f>
        <v>ВРЕМЕННОЕ ТРУДОУСТРОЙСТВО НЕСОВЕРШЕННОЛЕТНИХ В ВОЗРАСТЕ ОТ 14 ДО 18 ЛЕТ В СВОБОДНОЕ ОТ УЧЕБЫ ВРЕМЯ</v>
      </c>
      <c r="C76" s="2172" t="str">
        <f>C75</f>
        <v>04</v>
      </c>
      <c r="D76" s="2137" t="str">
        <f>D75</f>
        <v>01</v>
      </c>
      <c r="E76" s="2138" t="str">
        <f>Бюд.р.!D310</f>
        <v>510 02 00</v>
      </c>
      <c r="F76" s="2209"/>
      <c r="G76" s="2146">
        <f>G77</f>
        <v>166.5</v>
      </c>
    </row>
    <row r="77" spans="1:7" x14ac:dyDescent="0.2">
      <c r="A77" s="2154" t="s">
        <v>802</v>
      </c>
      <c r="B77" s="2193" t="str">
        <f>Бюд.р.!A311</f>
        <v>Иные бюджетные ассигнования</v>
      </c>
      <c r="C77" s="2168" t="str">
        <f>C76</f>
        <v>04</v>
      </c>
      <c r="D77" s="2124" t="str">
        <f>D76</f>
        <v>01</v>
      </c>
      <c r="E77" s="2119" t="str">
        <f>E76</f>
        <v>510 02 00</v>
      </c>
      <c r="F77" s="1866">
        <f>Бюд.р.!F311</f>
        <v>800</v>
      </c>
      <c r="G77" s="2120">
        <f>Бюд.р.!H311</f>
        <v>166.5</v>
      </c>
    </row>
    <row r="78" spans="1:7" ht="15" customHeight="1" x14ac:dyDescent="0.2">
      <c r="A78" s="2151" t="s">
        <v>8</v>
      </c>
      <c r="B78" s="2190" t="str">
        <f>Бюд.р.!A320</f>
        <v>Другие вопросы в области национальной экономики</v>
      </c>
      <c r="C78" s="2166" t="str">
        <f>C77</f>
        <v>04</v>
      </c>
      <c r="D78" s="1893">
        <v>12</v>
      </c>
      <c r="E78" s="1893"/>
      <c r="F78" s="1949"/>
      <c r="G78" s="1958">
        <f>G79</f>
        <v>20</v>
      </c>
    </row>
    <row r="79" spans="1:7" ht="22.5" x14ac:dyDescent="0.2">
      <c r="A79" s="2157" t="s">
        <v>9</v>
      </c>
      <c r="B79" s="2186" t="str">
        <f>Бюд.р.!A321</f>
        <v>Ведомственная целевая программа по содействия развитию малого бизнеса на территории МО</v>
      </c>
      <c r="C79" s="2172" t="str">
        <f>C78</f>
        <v>04</v>
      </c>
      <c r="D79" s="2128">
        <f>D78</f>
        <v>12</v>
      </c>
      <c r="E79" s="2138" t="str">
        <f>Бюд.р.!D321</f>
        <v>795 07 00</v>
      </c>
      <c r="F79" s="2209"/>
      <c r="G79" s="2147">
        <f>G80</f>
        <v>20</v>
      </c>
    </row>
    <row r="80" spans="1:7" ht="15" customHeight="1" x14ac:dyDescent="0.2">
      <c r="A80" s="2154" t="s">
        <v>40</v>
      </c>
      <c r="B80" s="2218" t="str">
        <f>Бюд.р.!A322</f>
        <v>Закупка товаров, работ и услуг  для государственных (муниципальных) нужд</v>
      </c>
      <c r="C80" s="2168" t="str">
        <f>C79</f>
        <v>04</v>
      </c>
      <c r="D80" s="1867">
        <f>D79</f>
        <v>12</v>
      </c>
      <c r="E80" s="2119" t="str">
        <f>E79</f>
        <v>795 07 00</v>
      </c>
      <c r="F80" s="1866">
        <f>Бюд.р.!F322</f>
        <v>200</v>
      </c>
      <c r="G80" s="2120">
        <f>Бюд.р.!H322</f>
        <v>20</v>
      </c>
    </row>
    <row r="81" spans="1:7" ht="15.75" customHeight="1" x14ac:dyDescent="0.2">
      <c r="A81" s="2151" t="s">
        <v>745</v>
      </c>
      <c r="B81" s="2190" t="str">
        <f>Бюд.р.!A326</f>
        <v>ЖИЛИЩНО-КОММУНАЛЬНОЕ ХОЗЯЙСТВО</v>
      </c>
      <c r="C81" s="2166" t="s">
        <v>1372</v>
      </c>
      <c r="D81" s="2135"/>
      <c r="E81" s="1893"/>
      <c r="F81" s="1949"/>
      <c r="G81" s="2710">
        <f>G82</f>
        <v>50864.907999999996</v>
      </c>
    </row>
    <row r="82" spans="1:7" ht="15.75" customHeight="1" x14ac:dyDescent="0.2">
      <c r="A82" s="2151" t="s">
        <v>746</v>
      </c>
      <c r="B82" s="2949" t="str">
        <f>Бюд.р.!A327</f>
        <v>Благоустройство</v>
      </c>
      <c r="C82" s="2166" t="s">
        <v>1372</v>
      </c>
      <c r="D82" s="2135" t="s">
        <v>1367</v>
      </c>
      <c r="E82" s="2142"/>
      <c r="F82" s="2212"/>
      <c r="G82" s="1958">
        <f>G83+G86+G88+G90+G94+G96+G98+G102+G104+G106</f>
        <v>50864.907999999996</v>
      </c>
    </row>
    <row r="83" spans="1:7" ht="25.5" customHeight="1" x14ac:dyDescent="0.2">
      <c r="A83" s="2159" t="s">
        <v>489</v>
      </c>
      <c r="B83" s="2194" t="str">
        <f>Бюд.р.!A329</f>
        <v>ТЕКУЩИЙ РЕМОНТ ПРИДОМОВЫХ ТЕРРИТОРИЙ И ДВОРОВЫХ ТЕРРИТОРИЙ , ВКЛЮЧАЯ ПРОЕЗДЫ И ВЪЕЗДЫ,ПЕШЕХОДНЫЕ ДОРОЖКИ</v>
      </c>
      <c r="C83" s="2172" t="str">
        <f t="shared" ref="C83:D87" si="6">C82</f>
        <v>05</v>
      </c>
      <c r="D83" s="2137" t="str">
        <f t="shared" si="6"/>
        <v>03</v>
      </c>
      <c r="E83" s="2138" t="str">
        <f>Бюд.р.!D329</f>
        <v>600 01 01</v>
      </c>
      <c r="F83" s="2211"/>
      <c r="G83" s="2146">
        <f>SUM(G84:G85)</f>
        <v>32851.471999999994</v>
      </c>
    </row>
    <row r="84" spans="1:7" ht="13.5" customHeight="1" x14ac:dyDescent="0.2">
      <c r="A84" s="2152" t="s">
        <v>490</v>
      </c>
      <c r="B84" s="2193" t="str">
        <f>Бюд.р.!A330</f>
        <v>Закупка товаров, работ и услуг  для государственных (муниципальных) нужд</v>
      </c>
      <c r="C84" s="2168" t="str">
        <f t="shared" si="6"/>
        <v>05</v>
      </c>
      <c r="D84" s="2124" t="str">
        <f t="shared" si="6"/>
        <v>03</v>
      </c>
      <c r="E84" s="2119" t="str">
        <f>E83</f>
        <v>600 01 01</v>
      </c>
      <c r="F84" s="1866">
        <f>Бюд.р.!F330</f>
        <v>200</v>
      </c>
      <c r="G84" s="2120">
        <f>Бюд.р.!H330</f>
        <v>32309.071999999996</v>
      </c>
    </row>
    <row r="85" spans="1:7" ht="13.5" customHeight="1" x14ac:dyDescent="0.2">
      <c r="A85" s="2152" t="s">
        <v>1613</v>
      </c>
      <c r="B85" s="2193" t="str">
        <f>Бюд.р.!A335</f>
        <v>Иные бюджетные ассигнования</v>
      </c>
      <c r="C85" s="2168" t="s">
        <v>1372</v>
      </c>
      <c r="D85" s="2124" t="s">
        <v>1367</v>
      </c>
      <c r="E85" s="2119" t="str">
        <f>E83</f>
        <v>600 01 01</v>
      </c>
      <c r="F85" s="1866">
        <f>Бюд.р.!F335</f>
        <v>800</v>
      </c>
      <c r="G85" s="2120">
        <f>Бюд.р.!H335</f>
        <v>542.4</v>
      </c>
    </row>
    <row r="86" spans="1:7" ht="23.25" customHeight="1" x14ac:dyDescent="0.2">
      <c r="A86" s="2157" t="s">
        <v>1373</v>
      </c>
      <c r="B86" s="2186" t="str">
        <f>Бюд.р.!A339</f>
        <v>ОРГАНИЗАЦИЯ ДОПОЛНИТЕЛЬНЫХ  ПАРКОВОЧНЫХ МЕСТ НА ДВОРОВЫХ ТЕРРИТОРИЯХ</v>
      </c>
      <c r="C86" s="2172" t="str">
        <f>C84</f>
        <v>05</v>
      </c>
      <c r="D86" s="2127" t="str">
        <f>D84</f>
        <v>03</v>
      </c>
      <c r="E86" s="2138" t="str">
        <f>Бюд.р.!D339</f>
        <v>600 01 01</v>
      </c>
      <c r="F86" s="2209"/>
      <c r="G86" s="2147">
        <f>G87</f>
        <v>468.53700000000003</v>
      </c>
    </row>
    <row r="87" spans="1:7" ht="14.25" customHeight="1" x14ac:dyDescent="0.2">
      <c r="A87" s="2152" t="s">
        <v>1408</v>
      </c>
      <c r="B87" s="2193" t="str">
        <f>Бюд.р.!A340</f>
        <v>Закупка товаров, работ и услуг  для государственных (муниципальных) нужд</v>
      </c>
      <c r="C87" s="2168" t="str">
        <f t="shared" si="6"/>
        <v>05</v>
      </c>
      <c r="D87" s="2124" t="str">
        <f t="shared" si="6"/>
        <v>03</v>
      </c>
      <c r="E87" s="2119" t="str">
        <f>Бюд.р.!D340</f>
        <v>600 01 02</v>
      </c>
      <c r="F87" s="1866">
        <f>Бюд.р.!F340</f>
        <v>200</v>
      </c>
      <c r="G87" s="2120">
        <f>Бюд.р.!H340</f>
        <v>468.53700000000003</v>
      </c>
    </row>
    <row r="88" spans="1:7" ht="13.5" customHeight="1" x14ac:dyDescent="0.2">
      <c r="A88" s="2157" t="s">
        <v>1374</v>
      </c>
      <c r="B88" s="2187" t="str">
        <f>Бюд.р.!A344</f>
        <v xml:space="preserve">УСТАНОВКА,СОДЕРЖАНИЕ И РЕМОНТ ОГРАЖДЕНИЙ ГАЗОНОВ </v>
      </c>
      <c r="C88" s="2173" t="s">
        <v>1372</v>
      </c>
      <c r="D88" s="2127" t="s">
        <v>1367</v>
      </c>
      <c r="E88" s="2128" t="str">
        <f>Бюд.р.!D344</f>
        <v>600 01 03</v>
      </c>
      <c r="F88" s="2203"/>
      <c r="G88" s="2146">
        <f>G89</f>
        <v>2324.3319999999999</v>
      </c>
    </row>
    <row r="89" spans="1:7" ht="15" customHeight="1" x14ac:dyDescent="0.2">
      <c r="A89" s="2152" t="s">
        <v>1409</v>
      </c>
      <c r="B89" s="2193" t="str">
        <f>Бюд.р.!A345</f>
        <v>Закупка товаров, работ и услуг  для государственных (муниципальных) нужд</v>
      </c>
      <c r="C89" s="2174" t="str">
        <f>C88</f>
        <v>05</v>
      </c>
      <c r="D89" s="2124" t="str">
        <f>D88</f>
        <v>03</v>
      </c>
      <c r="E89" s="2119" t="str">
        <f>E88</f>
        <v>600 01 03</v>
      </c>
      <c r="F89" s="1866">
        <f>Бюд.р.!F345</f>
        <v>200</v>
      </c>
      <c r="G89" s="2120">
        <f>Бюд.р.!H345</f>
        <v>2324.3319999999999</v>
      </c>
    </row>
    <row r="90" spans="1:7" ht="33.75" x14ac:dyDescent="0.2">
      <c r="A90" s="2157" t="s">
        <v>1375</v>
      </c>
      <c r="B90" s="2186" t="str">
        <f>Бюд.р.!A355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0" s="2169" t="str">
        <f t="shared" ref="C90:D92" si="7">C89</f>
        <v>05</v>
      </c>
      <c r="D90" s="2127" t="str">
        <f t="shared" si="7"/>
        <v>03</v>
      </c>
      <c r="E90" s="2128" t="str">
        <f>Бюд.р.!D355</f>
        <v>600 01 04</v>
      </c>
      <c r="F90" s="2203"/>
      <c r="G90" s="2146">
        <f>G91</f>
        <v>1852.972</v>
      </c>
    </row>
    <row r="91" spans="1:7" ht="16.5" customHeight="1" x14ac:dyDescent="0.2">
      <c r="A91" s="2152" t="s">
        <v>1410</v>
      </c>
      <c r="B91" s="2183" t="str">
        <f>Бюд.р.!A356</f>
        <v>Закупка товаров, работ и услуг  для государственных (муниципальных) нужд</v>
      </c>
      <c r="C91" s="2171" t="str">
        <f t="shared" si="7"/>
        <v>05</v>
      </c>
      <c r="D91" s="2124" t="str">
        <f t="shared" si="7"/>
        <v>03</v>
      </c>
      <c r="E91" s="2119" t="str">
        <f>E90</f>
        <v>600 01 04</v>
      </c>
      <c r="F91" s="2210">
        <f>Бюд.р.!F356</f>
        <v>200</v>
      </c>
      <c r="G91" s="2120">
        <f>Бюд.р.!H356</f>
        <v>1852.972</v>
      </c>
    </row>
    <row r="92" spans="1:7" ht="35.25" hidden="1" customHeight="1" x14ac:dyDescent="0.2">
      <c r="B92" s="2192" t="str">
        <f>Бюд.р.!A364</f>
        <v>ОБОРУДОВАНИЕ КОНТЕЙНЕРНЫХ ПЛОЩАДОК НА ТЕРРИТОРИЯХ ДВОРОВ</v>
      </c>
      <c r="C92" s="2169" t="str">
        <f t="shared" si="7"/>
        <v>05</v>
      </c>
      <c r="D92" s="2127" t="str">
        <f t="shared" si="7"/>
        <v>03</v>
      </c>
      <c r="E92" s="2128" t="str">
        <f>Бюд.р.!D364</f>
        <v>600 02 01</v>
      </c>
      <c r="F92" s="2203"/>
      <c r="G92" s="2146">
        <f>G93</f>
        <v>0</v>
      </c>
    </row>
    <row r="93" spans="1:7" ht="15.75" hidden="1" customHeight="1" x14ac:dyDescent="0.2">
      <c r="B93" s="2193" t="str">
        <f>Бюд.р.!A365</f>
        <v>Закупка товаров, работ и услуг  для государственных (муниципальных) нужд</v>
      </c>
      <c r="C93" s="2174" t="s">
        <v>1372</v>
      </c>
      <c r="D93" s="2124" t="s">
        <v>1367</v>
      </c>
      <c r="E93" s="2119" t="str">
        <f>E92</f>
        <v>600 02 01</v>
      </c>
      <c r="F93" s="1866">
        <f>Бюд.р.!F365</f>
        <v>200</v>
      </c>
      <c r="G93" s="2120">
        <f>Бюд.р.!H365</f>
        <v>0</v>
      </c>
    </row>
    <row r="94" spans="1:7" ht="25.5" customHeight="1" x14ac:dyDescent="0.2">
      <c r="A94" s="2153" t="s">
        <v>1376</v>
      </c>
      <c r="B94" s="2186" t="str">
        <f>Бюд.р.!A375</f>
        <v>ЛИКВИДАЦИЯ НЕСАНКЦИОНИРОВАННЫХ СВАЛОК БЫТОВЫХ ОТХОДОВ, МУСОРА, УБОРКА ТЕРРИТОРИЙ, ВОДНЫХ АКВАТОРИЙ, ТУПИКОВ И ПРОЕЗДОВ</v>
      </c>
      <c r="C94" s="2173" t="str">
        <f t="shared" ref="C94:D97" si="8">C93</f>
        <v>05</v>
      </c>
      <c r="D94" s="2127" t="str">
        <f t="shared" si="8"/>
        <v>03</v>
      </c>
      <c r="E94" s="2138" t="str">
        <f>Бюд.р.!D375</f>
        <v>600 02 04</v>
      </c>
      <c r="F94" s="2209"/>
      <c r="G94" s="2147">
        <f>G95</f>
        <v>198.17000000000002</v>
      </c>
    </row>
    <row r="95" spans="1:7" x14ac:dyDescent="0.2">
      <c r="A95" s="2152" t="s">
        <v>1411</v>
      </c>
      <c r="B95" s="2195" t="str">
        <f>Бюд.р.!A376</f>
        <v>Закупка товаров, работ и услуг  для государственных (муниципальных) нужд</v>
      </c>
      <c r="C95" s="2168" t="str">
        <f t="shared" si="8"/>
        <v>05</v>
      </c>
      <c r="D95" s="2124" t="str">
        <f t="shared" si="8"/>
        <v>03</v>
      </c>
      <c r="E95" s="2119" t="str">
        <f>E94</f>
        <v>600 02 04</v>
      </c>
      <c r="F95" s="1866">
        <f>Бюд.р.!F376</f>
        <v>200</v>
      </c>
      <c r="G95" s="2120">
        <f>Бюд.р.!H376</f>
        <v>198.17000000000002</v>
      </c>
    </row>
    <row r="96" spans="1:7" ht="33.75" x14ac:dyDescent="0.2">
      <c r="A96" s="2153" t="s">
        <v>1377</v>
      </c>
      <c r="B96" s="2189" t="str">
        <f>Бюд.р.!A384</f>
        <v>ОЗЕЛЕНЕНИЕ , СОДЕРЖАНИЕ И РЕМОНТ ТЕРРИТОРИЙ  ЗЕЛЕНЫХ НАСАЖДЕНИЙ ВНУТРИКВАРТАЛЬНОГО ОЗЕЛЕНЕНИЯ, КОМПЕНСАЦИОННОЕ ОЗЕЛЕНЕНИЕ</v>
      </c>
      <c r="C96" s="2172" t="str">
        <f t="shared" si="8"/>
        <v>05</v>
      </c>
      <c r="D96" s="2127" t="str">
        <f t="shared" si="8"/>
        <v>03</v>
      </c>
      <c r="E96" s="2128" t="str">
        <f>Бюд.р.!D384</f>
        <v>600 03 01</v>
      </c>
      <c r="F96" s="2203"/>
      <c r="G96" s="2146">
        <f>G97</f>
        <v>7445.0240000000013</v>
      </c>
    </row>
    <row r="97" spans="1:7" x14ac:dyDescent="0.2">
      <c r="A97" s="2155" t="s">
        <v>1412</v>
      </c>
      <c r="B97" s="2188" t="str">
        <f>Бюд.р.!A385</f>
        <v>Закупка товаров, работ и услуг  для государственных (муниципальных) нужд</v>
      </c>
      <c r="C97" s="2168" t="str">
        <f t="shared" si="8"/>
        <v>05</v>
      </c>
      <c r="D97" s="2124" t="str">
        <f t="shared" si="8"/>
        <v>03</v>
      </c>
      <c r="E97" s="1867" t="str">
        <f>E96</f>
        <v>600 03 01</v>
      </c>
      <c r="F97" s="1868">
        <f>Бюд.р.!F385</f>
        <v>200</v>
      </c>
      <c r="G97" s="2122">
        <f>Бюд.р.!H385</f>
        <v>7445.0240000000013</v>
      </c>
    </row>
    <row r="98" spans="1:7" ht="22.5" customHeight="1" x14ac:dyDescent="0.2">
      <c r="A98" s="2153" t="s">
        <v>1378</v>
      </c>
      <c r="B98" s="2191" t="str">
        <f>Бюд.р.!A394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8" s="2173" t="s">
        <v>1372</v>
      </c>
      <c r="D98" s="2127" t="s">
        <v>1367</v>
      </c>
      <c r="E98" s="2128" t="str">
        <f>Бюд.р.!D394</f>
        <v>600 03 02</v>
      </c>
      <c r="F98" s="2203"/>
      <c r="G98" s="2146">
        <f>G99</f>
        <v>296.95</v>
      </c>
    </row>
    <row r="99" spans="1:7" ht="15" customHeight="1" x14ac:dyDescent="0.2">
      <c r="A99" s="2152" t="s">
        <v>1413</v>
      </c>
      <c r="B99" s="2193" t="str">
        <f>Бюд.р.!A395</f>
        <v>Закупка товаров, работ и услуг  для государственных (муниципальных) нужд</v>
      </c>
      <c r="C99" s="2174" t="str">
        <f>C98</f>
        <v>05</v>
      </c>
      <c r="D99" s="2124" t="str">
        <f>D98</f>
        <v>03</v>
      </c>
      <c r="E99" s="2119" t="str">
        <f>E98</f>
        <v>600 03 02</v>
      </c>
      <c r="F99" s="1866">
        <f>Бюд.р.!F395</f>
        <v>200</v>
      </c>
      <c r="G99" s="2120">
        <f>Бюд.р.!H395</f>
        <v>296.95</v>
      </c>
    </row>
    <row r="100" spans="1:7" ht="36" hidden="1" customHeight="1" x14ac:dyDescent="0.2">
      <c r="A100" s="2157" t="s">
        <v>1380</v>
      </c>
      <c r="B100" s="2186" t="str">
        <f>Бюд.р.!A394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100" s="2169" t="str">
        <f t="shared" ref="C100:D103" si="9">C99</f>
        <v>05</v>
      </c>
      <c r="D100" s="2127" t="str">
        <f t="shared" si="9"/>
        <v>03</v>
      </c>
      <c r="E100" s="2138" t="str">
        <f>Бюд.р.!D401</f>
        <v>600 03 04</v>
      </c>
      <c r="F100" s="2209"/>
      <c r="G100" s="2147">
        <f>G101</f>
        <v>0</v>
      </c>
    </row>
    <row r="101" spans="1:7" ht="14.25" hidden="1" customHeight="1" x14ac:dyDescent="0.2">
      <c r="A101" s="2152" t="s">
        <v>1415</v>
      </c>
      <c r="B101" s="2183" t="str">
        <f>Бюд.р.!A402</f>
        <v>Закупка товаров, работ и услуг  для государственных (муниципальных) нужд</v>
      </c>
      <c r="C101" s="2171" t="str">
        <f t="shared" si="9"/>
        <v>05</v>
      </c>
      <c r="D101" s="2124" t="str">
        <f t="shared" si="9"/>
        <v>03</v>
      </c>
      <c r="E101" s="2119" t="str">
        <f>E100</f>
        <v>600 03 04</v>
      </c>
      <c r="F101" s="1866">
        <f>Бюд.р.!F402</f>
        <v>200</v>
      </c>
      <c r="G101" s="2120">
        <f>Бюд.р.!H402</f>
        <v>0</v>
      </c>
    </row>
    <row r="102" spans="1:7" ht="24.75" customHeight="1" x14ac:dyDescent="0.2">
      <c r="A102" s="2153" t="s">
        <v>1379</v>
      </c>
      <c r="B102" s="2182" t="str">
        <f>Бюд.р.!A406</f>
        <v xml:space="preserve">ОРГАНИЗАЦИЯ УЧЕТА ЗЕЛЕНЫХ НАСАЖДЕНИЙ ВНУТРИКВАРТАЛЬНОГО ОЗЕЛЕНЕНИЯ </v>
      </c>
      <c r="C102" s="2172" t="str">
        <f t="shared" si="9"/>
        <v>05</v>
      </c>
      <c r="D102" s="2127" t="str">
        <f t="shared" si="9"/>
        <v>03</v>
      </c>
      <c r="E102" s="2128" t="str">
        <f>Бюд.р.!D406</f>
        <v>600 03 05</v>
      </c>
      <c r="F102" s="2203"/>
      <c r="G102" s="2146">
        <f>G103</f>
        <v>150</v>
      </c>
    </row>
    <row r="103" spans="1:7" ht="18" customHeight="1" x14ac:dyDescent="0.2">
      <c r="A103" s="2152" t="s">
        <v>1414</v>
      </c>
      <c r="B103" s="2183" t="str">
        <f>Бюд.р.!A407</f>
        <v>Закупка товаров, работ и услуг  для государственных (муниципальных) нужд</v>
      </c>
      <c r="C103" s="2168" t="str">
        <f t="shared" si="9"/>
        <v>05</v>
      </c>
      <c r="D103" s="2124" t="str">
        <f t="shared" si="9"/>
        <v>03</v>
      </c>
      <c r="E103" s="2119" t="str">
        <f>E102</f>
        <v>600 03 05</v>
      </c>
      <c r="F103" s="1866">
        <f>Бюд.р.!F407</f>
        <v>200</v>
      </c>
      <c r="G103" s="2120">
        <f>Бюд.р.!H407</f>
        <v>150</v>
      </c>
    </row>
    <row r="104" spans="1:7" ht="22.5" x14ac:dyDescent="0.2">
      <c r="A104" s="2153" t="s">
        <v>1380</v>
      </c>
      <c r="B104" s="2196" t="str">
        <f>Бюд.р.!A412</f>
        <v>СОЗДАНИЕ ЗОН ОТДЫХА, В ТОМ ЧИСЛЕ ОБУСТРОЙСТВО, СОДЕРЖАНИЕ И УБОРКА ТЕРРИТОРИЙ ДЕТСКИХ ПЛОЩАДОК</v>
      </c>
      <c r="C104" s="2173" t="s">
        <v>1372</v>
      </c>
      <c r="D104" s="2127" t="s">
        <v>1367</v>
      </c>
      <c r="E104" s="2128" t="str">
        <f>Бюд.р.!D412</f>
        <v>600 04 01</v>
      </c>
      <c r="F104" s="2203"/>
      <c r="G104" s="2146">
        <f>G105</f>
        <v>4133.3819999999996</v>
      </c>
    </row>
    <row r="105" spans="1:7" ht="17.25" customHeight="1" x14ac:dyDescent="0.2">
      <c r="A105" s="2152" t="s">
        <v>1415</v>
      </c>
      <c r="B105" s="2188" t="str">
        <f>Бюд.р.!A413</f>
        <v>Закупка товаров, работ и услуг  для государственных (муниципальных) нужд</v>
      </c>
      <c r="C105" s="2174" t="str">
        <f>C104</f>
        <v>05</v>
      </c>
      <c r="D105" s="2124" t="str">
        <f>D104</f>
        <v>03</v>
      </c>
      <c r="E105" s="2119" t="str">
        <f>E104</f>
        <v>600 04 01</v>
      </c>
      <c r="F105" s="1866">
        <f>Бюд.р.!F413</f>
        <v>200</v>
      </c>
      <c r="G105" s="2120">
        <f>Бюд.р.!H413</f>
        <v>4133.3819999999996</v>
      </c>
    </row>
    <row r="106" spans="1:7" ht="24.75" customHeight="1" x14ac:dyDescent="0.2">
      <c r="A106" s="2153" t="s">
        <v>1381</v>
      </c>
      <c r="B106" s="2196" t="str">
        <f>Бюд.р.!A420</f>
        <v>ОБУСТРОЙСТВО, СОДЕРЖАНИЕ И УБОРКА ТЕРРИТОРИЙ СПОРТИВНЫХ ПЛОЩАДОК</v>
      </c>
      <c r="C106" s="2169" t="str">
        <f>C105</f>
        <v>05</v>
      </c>
      <c r="D106" s="2127" t="str">
        <f>D105</f>
        <v>03</v>
      </c>
      <c r="E106" s="2128" t="str">
        <f>Бюд.р.!D420</f>
        <v>600 04 02</v>
      </c>
      <c r="F106" s="2203"/>
      <c r="G106" s="2146">
        <f>G107</f>
        <v>1144.069</v>
      </c>
    </row>
    <row r="107" spans="1:7" ht="18" customHeight="1" x14ac:dyDescent="0.2">
      <c r="A107" s="2152" t="s">
        <v>1416</v>
      </c>
      <c r="B107" s="2188" t="str">
        <f>Бюд.р.!A421</f>
        <v>Закупка товаров, работ и услуг  для государственных (муниципальных) нужд</v>
      </c>
      <c r="C107" s="2171" t="str">
        <f>C106</f>
        <v>05</v>
      </c>
      <c r="D107" s="2124" t="str">
        <f>D106</f>
        <v>03</v>
      </c>
      <c r="E107" s="2119" t="str">
        <f>E106</f>
        <v>600 04 02</v>
      </c>
      <c r="F107" s="1866">
        <f>Бюд.р.!F421</f>
        <v>200</v>
      </c>
      <c r="G107" s="2120">
        <f>Бюд.р.!H421</f>
        <v>1144.069</v>
      </c>
    </row>
    <row r="108" spans="1:7" ht="17.25" customHeight="1" x14ac:dyDescent="0.2">
      <c r="A108" s="2151">
        <v>5</v>
      </c>
      <c r="B108" s="2949" t="str">
        <f>Бюд.р.!A440</f>
        <v>ОБРАЗОВАНИЕ</v>
      </c>
      <c r="C108" s="2166" t="s">
        <v>1370</v>
      </c>
      <c r="D108" s="2135"/>
      <c r="E108" s="1893"/>
      <c r="F108" s="1949"/>
      <c r="G108" s="2710">
        <f>G109+G114+G125</f>
        <v>4271.1000000000004</v>
      </c>
    </row>
    <row r="109" spans="1:7" ht="15" customHeight="1" x14ac:dyDescent="0.2">
      <c r="A109" s="2151" t="s">
        <v>805</v>
      </c>
      <c r="B109" s="2197" t="str">
        <f>Бюд.р.!A441</f>
        <v xml:space="preserve">Профессиональная подготовка, переподготовка и повышение квалификации
</v>
      </c>
      <c r="C109" s="2166" t="s">
        <v>1370</v>
      </c>
      <c r="D109" s="2135" t="s">
        <v>1372</v>
      </c>
      <c r="E109" s="1893"/>
      <c r="F109" s="1949"/>
      <c r="G109" s="1958">
        <f>G110+G112</f>
        <v>255</v>
      </c>
    </row>
    <row r="110" spans="1:7" ht="33.75" x14ac:dyDescent="0.2">
      <c r="A110" s="2153" t="s">
        <v>109</v>
      </c>
      <c r="B110" s="2191" t="str">
        <f>Бюд.р.!A444</f>
        <v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0" s="2169" t="str">
        <f>C109</f>
        <v>07</v>
      </c>
      <c r="D110" s="2127" t="str">
        <f>D109</f>
        <v>05</v>
      </c>
      <c r="E110" s="2128" t="str">
        <f>Бюд.р.!D444</f>
        <v>428 01 01</v>
      </c>
      <c r="F110" s="2203"/>
      <c r="G110" s="2146">
        <f>G111</f>
        <v>17</v>
      </c>
    </row>
    <row r="111" spans="1:7" ht="15" customHeight="1" x14ac:dyDescent="0.2">
      <c r="A111" s="2155" t="s">
        <v>1417</v>
      </c>
      <c r="B111" s="2188" t="str">
        <f>Бюд.р.!A445</f>
        <v>Закупка товаров, работ и услуг  для государственных (муниципальных) нужд</v>
      </c>
      <c r="C111" s="2168" t="s">
        <v>1370</v>
      </c>
      <c r="D111" s="2124" t="s">
        <v>1372</v>
      </c>
      <c r="E111" s="2119" t="str">
        <f>Бюд.р.!D445</f>
        <v>428 01 01</v>
      </c>
      <c r="F111" s="1866">
        <f>Бюд.р.!F445</f>
        <v>200</v>
      </c>
      <c r="G111" s="2120">
        <f>Бюд.р.!H445</f>
        <v>17</v>
      </c>
    </row>
    <row r="112" spans="1:7" ht="25.5" customHeight="1" x14ac:dyDescent="0.2">
      <c r="A112" s="2153" t="s">
        <v>1418</v>
      </c>
      <c r="B112" s="2187" t="str">
        <f>Бюд.р.!A449</f>
        <v xml:space="preserve">Расходы на организацию профессионального образования и дополнительного профессионального образования для  муниципальных служащих  </v>
      </c>
      <c r="C112" s="2169" t="str">
        <f>C111</f>
        <v>07</v>
      </c>
      <c r="D112" s="2127" t="str">
        <f>D111</f>
        <v>05</v>
      </c>
      <c r="E112" s="2128" t="str">
        <f>Бюд.р.!D449</f>
        <v>428 01 02</v>
      </c>
      <c r="F112" s="2203"/>
      <c r="G112" s="2146">
        <f>G113</f>
        <v>238</v>
      </c>
    </row>
    <row r="113" spans="1:7" ht="15" customHeight="1" x14ac:dyDescent="0.2">
      <c r="A113" s="2155" t="s">
        <v>1419</v>
      </c>
      <c r="B113" s="2217" t="str">
        <f>Бюд.р.!A450</f>
        <v>Закупка товаров, работ и услуг  для государственных (муниципальных) нужд</v>
      </c>
      <c r="C113" s="2168" t="str">
        <f t="shared" ref="C113:C124" si="10">C112</f>
        <v>07</v>
      </c>
      <c r="D113" s="2124" t="str">
        <f t="shared" ref="D113:D124" si="11">D112</f>
        <v>05</v>
      </c>
      <c r="E113" s="2119" t="str">
        <f>E112</f>
        <v>428 01 02</v>
      </c>
      <c r="F113" s="1866">
        <f>Бюд.р.!F450</f>
        <v>200</v>
      </c>
      <c r="G113" s="2120">
        <f>Бюд.р.!H450</f>
        <v>238</v>
      </c>
    </row>
    <row r="114" spans="1:7" ht="18.75" customHeight="1" x14ac:dyDescent="0.2">
      <c r="A114" s="2151" t="s">
        <v>1387</v>
      </c>
      <c r="B114" s="2949" t="str">
        <f>Бюд.р.!A454</f>
        <v>Молодежная политика и оздоровление детей</v>
      </c>
      <c r="C114" s="2166" t="str">
        <f t="shared" si="10"/>
        <v>07</v>
      </c>
      <c r="D114" s="2135" t="s">
        <v>1370</v>
      </c>
      <c r="E114" s="2142"/>
      <c r="F114" s="2212"/>
      <c r="G114" s="1958">
        <f>G115+G117+G119+G121+G123</f>
        <v>3879.6</v>
      </c>
    </row>
    <row r="115" spans="1:7" ht="27" customHeight="1" x14ac:dyDescent="0.2">
      <c r="A115" s="2160" t="s">
        <v>527</v>
      </c>
      <c r="B115" s="2950" t="str">
        <f>Бюд.р.!A455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C115" s="2169" t="str">
        <f>C112</f>
        <v>07</v>
      </c>
      <c r="D115" s="2127" t="str">
        <f>D112</f>
        <v>05</v>
      </c>
      <c r="E115" s="2138" t="str">
        <f>Бюд.р.!D459</f>
        <v>795 01 00</v>
      </c>
      <c r="F115" s="2211"/>
      <c r="G115" s="2146">
        <f>G116</f>
        <v>877.5</v>
      </c>
    </row>
    <row r="116" spans="1:7" ht="13.5" customHeight="1" x14ac:dyDescent="0.2">
      <c r="A116" s="2152" t="s">
        <v>1420</v>
      </c>
      <c r="B116" s="2193" t="str">
        <f>Бюд.р.!A456</f>
        <v>Закупка товаров, работ и услуг  для государственных (муниципальных) нужд</v>
      </c>
      <c r="C116" s="2168" t="str">
        <f t="shared" si="10"/>
        <v>07</v>
      </c>
      <c r="D116" s="2124" t="str">
        <f t="shared" si="11"/>
        <v>05</v>
      </c>
      <c r="E116" s="2119" t="str">
        <f>E115</f>
        <v>795 01 00</v>
      </c>
      <c r="F116" s="1866">
        <f>Бюд.р.!F456</f>
        <v>200</v>
      </c>
      <c r="G116" s="2120">
        <f>Бюд.р.!H456</f>
        <v>877.5</v>
      </c>
    </row>
    <row r="117" spans="1:7" ht="34.5" customHeight="1" x14ac:dyDescent="0.2">
      <c r="A117" s="2160" t="s">
        <v>527</v>
      </c>
      <c r="B117" s="2194" t="str">
        <f>Пцс!B51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17" s="2169" t="str">
        <f>C114</f>
        <v>07</v>
      </c>
      <c r="D117" s="2127" t="str">
        <f>D114</f>
        <v>07</v>
      </c>
      <c r="E117" s="2138" t="str">
        <f>Пцс!C51</f>
        <v>795 04 00</v>
      </c>
      <c r="F117" s="2211"/>
      <c r="G117" s="2146">
        <f>G118</f>
        <v>185</v>
      </c>
    </row>
    <row r="118" spans="1:7" ht="13.5" customHeight="1" x14ac:dyDescent="0.2">
      <c r="A118" s="2152" t="s">
        <v>1420</v>
      </c>
      <c r="B118" s="2193" t="str">
        <f>Бюд.р.!A462</f>
        <v>Закупка товаров, работ и услуг  для государственных (муниципальных) нужд</v>
      </c>
      <c r="C118" s="2168" t="str">
        <f t="shared" si="10"/>
        <v>07</v>
      </c>
      <c r="D118" s="2124" t="str">
        <f t="shared" si="11"/>
        <v>07</v>
      </c>
      <c r="E118" s="2119" t="str">
        <f>E117</f>
        <v>795 04 00</v>
      </c>
      <c r="F118" s="1866">
        <f>Бюд.р.!F462</f>
        <v>200</v>
      </c>
      <c r="G118" s="2120">
        <f>Бюд.р.!H462</f>
        <v>185</v>
      </c>
    </row>
    <row r="119" spans="1:7" ht="24" customHeight="1" x14ac:dyDescent="0.2">
      <c r="A119" s="2160" t="s">
        <v>527</v>
      </c>
      <c r="B119" s="2950" t="str">
        <f>Бюд.р.!A466</f>
        <v>Ведомственная целевая программа по военно-патриотическому воспитанию граждан муниципального образования</v>
      </c>
      <c r="C119" s="2169" t="str">
        <f>C114</f>
        <v>07</v>
      </c>
      <c r="D119" s="2127" t="str">
        <f>D114</f>
        <v>07</v>
      </c>
      <c r="E119" s="2138" t="str">
        <f>Бюд.р.!D466</f>
        <v>795 08 00</v>
      </c>
      <c r="F119" s="2211"/>
      <c r="G119" s="2146">
        <f>G120</f>
        <v>1106.2</v>
      </c>
    </row>
    <row r="120" spans="1:7" ht="13.5" customHeight="1" x14ac:dyDescent="0.2">
      <c r="A120" s="2152" t="s">
        <v>1420</v>
      </c>
      <c r="B120" s="2193" t="str">
        <f>Бюд.р.!A475</f>
        <v>Закупка товаров, работ и услуг  для государственных (муниципальных) нужд</v>
      </c>
      <c r="C120" s="2168" t="str">
        <f t="shared" si="10"/>
        <v>07</v>
      </c>
      <c r="D120" s="2124" t="str">
        <f t="shared" si="11"/>
        <v>07</v>
      </c>
      <c r="E120" s="2119" t="str">
        <f>E119</f>
        <v>795 08 00</v>
      </c>
      <c r="F120" s="1866">
        <f>Бюд.р.!F475</f>
        <v>200</v>
      </c>
      <c r="G120" s="2120">
        <f>Бюд.р.!H467</f>
        <v>1106.2</v>
      </c>
    </row>
    <row r="121" spans="1:7" ht="22.5" customHeight="1" x14ac:dyDescent="0.2">
      <c r="A121" s="2153" t="s">
        <v>1388</v>
      </c>
      <c r="B121" s="2196" t="str">
        <f>Бюд.р.!A474</f>
        <v xml:space="preserve">Ведомственная целевая программа по организации и проведению досуговых мероприятий для жителей МО МО Озеро Долгое </v>
      </c>
      <c r="C121" s="2169" t="str">
        <f t="shared" si="10"/>
        <v>07</v>
      </c>
      <c r="D121" s="2127" t="str">
        <f t="shared" si="11"/>
        <v>07</v>
      </c>
      <c r="E121" s="2128" t="str">
        <f>Бюд.р.!D474</f>
        <v>795 06 00</v>
      </c>
      <c r="F121" s="2203"/>
      <c r="G121" s="2146">
        <f>G122</f>
        <v>1610.9</v>
      </c>
    </row>
    <row r="122" spans="1:7" ht="15" customHeight="1" x14ac:dyDescent="0.2">
      <c r="A122" s="2152" t="s">
        <v>1421</v>
      </c>
      <c r="B122" s="2217" t="str">
        <f>Бюд.р.!A475</f>
        <v>Закупка товаров, работ и услуг  для государственных (муниципальных) нужд</v>
      </c>
      <c r="C122" s="2168" t="str">
        <f t="shared" si="10"/>
        <v>07</v>
      </c>
      <c r="D122" s="2124" t="str">
        <f t="shared" si="11"/>
        <v>07</v>
      </c>
      <c r="E122" s="2121" t="str">
        <f>E121</f>
        <v>795 06 00</v>
      </c>
      <c r="F122" s="2210">
        <f>Бюд.р.!F475</f>
        <v>200</v>
      </c>
      <c r="G122" s="2120">
        <f>Бюд.р.!H475</f>
        <v>1610.9</v>
      </c>
    </row>
    <row r="123" spans="1:7" ht="36" customHeight="1" x14ac:dyDescent="0.2">
      <c r="A123" s="2153" t="s">
        <v>1388</v>
      </c>
      <c r="B123" s="2182" t="str">
        <f>Бюд.р.!A483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23" s="2169" t="str">
        <f t="shared" si="10"/>
        <v>07</v>
      </c>
      <c r="D123" s="2127" t="str">
        <f t="shared" si="11"/>
        <v>07</v>
      </c>
      <c r="E123" s="2128" t="str">
        <f>E124</f>
        <v>795 05 00</v>
      </c>
      <c r="F123" s="2203"/>
      <c r="G123" s="2146">
        <f>G124</f>
        <v>100</v>
      </c>
    </row>
    <row r="124" spans="1:7" ht="13.5" customHeight="1" x14ac:dyDescent="0.2">
      <c r="A124" s="2152" t="s">
        <v>1421</v>
      </c>
      <c r="B124" s="2217" t="str">
        <f>Бюд.р.!A484</f>
        <v>Закупка товаров, работ и услуг  для государственных (муниципальных) нужд</v>
      </c>
      <c r="C124" s="2168" t="str">
        <f t="shared" si="10"/>
        <v>07</v>
      </c>
      <c r="D124" s="2124" t="str">
        <f t="shared" si="11"/>
        <v>07</v>
      </c>
      <c r="E124" s="2121" t="str">
        <f>Бюд.р.!D484</f>
        <v>795 05 00</v>
      </c>
      <c r="F124" s="2210">
        <f>Бюд.р.!F484</f>
        <v>200</v>
      </c>
      <c r="G124" s="2120">
        <f>Бюд.р.!H484</f>
        <v>100</v>
      </c>
    </row>
    <row r="125" spans="1:7" ht="18.75" customHeight="1" x14ac:dyDescent="0.2">
      <c r="A125" s="2161" t="s">
        <v>16</v>
      </c>
      <c r="B125" s="2949" t="str">
        <f>Бюд.р.!A490</f>
        <v>Другие вопросы в области образования</v>
      </c>
      <c r="C125" s="2166" t="s">
        <v>1370</v>
      </c>
      <c r="D125" s="2135" t="s">
        <v>1371</v>
      </c>
      <c r="E125" s="1893"/>
      <c r="F125" s="1949"/>
      <c r="G125" s="1958">
        <f>G126+G128</f>
        <v>136.5</v>
      </c>
    </row>
    <row r="126" spans="1:7" ht="29.25" customHeight="1" x14ac:dyDescent="0.2">
      <c r="A126" s="2162" t="s">
        <v>17</v>
      </c>
      <c r="B126" s="2182" t="str">
        <f>Бюд.р.!A491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C126" s="2169" t="str">
        <f t="shared" ref="C126:D129" si="12">C125</f>
        <v>07</v>
      </c>
      <c r="D126" s="2127" t="str">
        <f t="shared" si="12"/>
        <v>09</v>
      </c>
      <c r="E126" s="2128" t="str">
        <f>Бюд.р.!D491</f>
        <v>795 01 00</v>
      </c>
      <c r="F126" s="2211"/>
      <c r="G126" s="2146">
        <f>G127</f>
        <v>30</v>
      </c>
    </row>
    <row r="127" spans="1:7" ht="12" customHeight="1" x14ac:dyDescent="0.2">
      <c r="A127" s="2152" t="s">
        <v>1422</v>
      </c>
      <c r="B127" s="2217" t="str">
        <f>Бюд.р.!A492</f>
        <v>Закупка товаров, работ и услуг  для государственных (муниципальных) нужд</v>
      </c>
      <c r="C127" s="2168" t="str">
        <f t="shared" si="12"/>
        <v>07</v>
      </c>
      <c r="D127" s="2124" t="str">
        <f t="shared" si="12"/>
        <v>09</v>
      </c>
      <c r="E127" s="2119" t="str">
        <f>E126</f>
        <v>795 01 00</v>
      </c>
      <c r="F127" s="1866">
        <f>Бюд.р.!F492</f>
        <v>200</v>
      </c>
      <c r="G127" s="2120">
        <f>Бюд.р.!H492</f>
        <v>30</v>
      </c>
    </row>
    <row r="128" spans="1:7" ht="39" customHeight="1" x14ac:dyDescent="0.2">
      <c r="A128" s="2160" t="s">
        <v>1389</v>
      </c>
      <c r="B128" s="2186" t="str">
        <f>Бюд.р.!A500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8" s="2169" t="str">
        <f t="shared" si="12"/>
        <v>07</v>
      </c>
      <c r="D128" s="2127" t="str">
        <f t="shared" si="12"/>
        <v>09</v>
      </c>
      <c r="E128" s="2128" t="str">
        <f>Бюд.р.!D500</f>
        <v>795 04 00</v>
      </c>
      <c r="F128" s="2203"/>
      <c r="G128" s="2146">
        <f>G129</f>
        <v>106.5</v>
      </c>
    </row>
    <row r="129" spans="1:7" ht="15" customHeight="1" x14ac:dyDescent="0.2">
      <c r="A129" s="2152" t="s">
        <v>1423</v>
      </c>
      <c r="B129" s="2183" t="str">
        <f>Бюд.р.!A501</f>
        <v>Закупка товаров, работ и услуг  для государственных (муниципальных) нужд</v>
      </c>
      <c r="C129" s="2168" t="str">
        <f t="shared" si="12"/>
        <v>07</v>
      </c>
      <c r="D129" s="2124" t="str">
        <f t="shared" si="12"/>
        <v>09</v>
      </c>
      <c r="E129" s="2119" t="str">
        <f>E128</f>
        <v>795 04 00</v>
      </c>
      <c r="F129" s="1866">
        <f>Бюд.р.!F501</f>
        <v>200</v>
      </c>
      <c r="G129" s="2120">
        <f>Бюд.р.!H501</f>
        <v>106.5</v>
      </c>
    </row>
    <row r="130" spans="1:7" ht="19.5" customHeight="1" x14ac:dyDescent="0.2">
      <c r="A130" s="2161" t="s">
        <v>350</v>
      </c>
      <c r="B130" s="2190" t="str">
        <f>Бюд.р.!A506</f>
        <v xml:space="preserve">КУЛЬТУРА, КИНЕМАТОГРАФИЯ </v>
      </c>
      <c r="C130" s="2166" t="s">
        <v>1390</v>
      </c>
      <c r="D130" s="2135"/>
      <c r="E130" s="1893"/>
      <c r="F130" s="1949"/>
      <c r="G130" s="2710">
        <f>G131+G134</f>
        <v>11628.808999999999</v>
      </c>
    </row>
    <row r="131" spans="1:7" ht="16.5" customHeight="1" x14ac:dyDescent="0.2">
      <c r="A131" s="2161" t="s">
        <v>806</v>
      </c>
      <c r="B131" s="2198" t="str">
        <f>Бюд.р.!A507</f>
        <v>Культура</v>
      </c>
      <c r="C131" s="2166" t="s">
        <v>1390</v>
      </c>
      <c r="D131" s="2135" t="s">
        <v>1365</v>
      </c>
      <c r="E131" s="1893"/>
      <c r="F131" s="1949"/>
      <c r="G131" s="1958">
        <f>G132</f>
        <v>10081.829</v>
      </c>
    </row>
    <row r="132" spans="1:7" ht="49.5" customHeight="1" x14ac:dyDescent="0.2">
      <c r="A132" s="2229" t="s">
        <v>110</v>
      </c>
      <c r="B132" s="2186" t="str">
        <f>Бюд.р.!A508</f>
        <v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32" s="2169" t="str">
        <f>C131</f>
        <v>08</v>
      </c>
      <c r="D132" s="2127" t="str">
        <f>D131</f>
        <v>01</v>
      </c>
      <c r="E132" s="2128" t="str">
        <f>Бюд.р.!D508</f>
        <v>795 09 00</v>
      </c>
      <c r="F132" s="2203"/>
      <c r="G132" s="2146">
        <f>G133</f>
        <v>10081.829</v>
      </c>
    </row>
    <row r="133" spans="1:7" x14ac:dyDescent="0.2">
      <c r="A133" s="2163" t="s">
        <v>157</v>
      </c>
      <c r="B133" s="2183" t="str">
        <f>Бюд.р.!A509</f>
        <v>Закупка товаров, работ и услуг  для государственных (муниципальных) нужд</v>
      </c>
      <c r="C133" s="2168" t="s">
        <v>1390</v>
      </c>
      <c r="D133" s="2124" t="s">
        <v>1365</v>
      </c>
      <c r="E133" s="2119" t="str">
        <f>E132</f>
        <v>795 09 00</v>
      </c>
      <c r="F133" s="1866">
        <f>Бюд.р.!F509</f>
        <v>200</v>
      </c>
      <c r="G133" s="2120">
        <f>Бюд.р.!H509</f>
        <v>10081.829</v>
      </c>
    </row>
    <row r="134" spans="1:7" ht="18.75" customHeight="1" x14ac:dyDescent="0.2">
      <c r="A134" s="2161" t="s">
        <v>891</v>
      </c>
      <c r="B134" s="2951" t="str">
        <f>Бюд.р.!A516</f>
        <v>Другие вопросы в области культуры, кинематографии</v>
      </c>
      <c r="C134" s="2166" t="s">
        <v>1390</v>
      </c>
      <c r="D134" s="2135" t="s">
        <v>1368</v>
      </c>
      <c r="E134" s="1893"/>
      <c r="F134" s="1949"/>
      <c r="G134" s="1958">
        <f>G135+G137</f>
        <v>1546.98</v>
      </c>
    </row>
    <row r="135" spans="1:7" ht="28.5" customHeight="1" x14ac:dyDescent="0.2">
      <c r="A135" s="2153" t="s">
        <v>10</v>
      </c>
      <c r="B135" s="2189" t="str">
        <f>Бюд.р.!A517</f>
        <v xml:space="preserve">Ведомственная целевая программа по организации и проведению досуговых мероприятий для жителей МО МО Озеро Долгое </v>
      </c>
      <c r="C135" s="2169" t="s">
        <v>1390</v>
      </c>
      <c r="D135" s="2127" t="s">
        <v>1368</v>
      </c>
      <c r="E135" s="2128" t="str">
        <f>Бюд.р.!D517</f>
        <v>795 06 00</v>
      </c>
      <c r="F135" s="2203"/>
      <c r="G135" s="2146">
        <f>G136</f>
        <v>1314.25</v>
      </c>
    </row>
    <row r="136" spans="1:7" ht="14.25" customHeight="1" x14ac:dyDescent="0.2">
      <c r="A136" s="2164" t="s">
        <v>1424</v>
      </c>
      <c r="B136" s="2188" t="str">
        <f>Бюд.р.!A518</f>
        <v>Закупка товаров, работ и услуг  для государственных (муниципальных) нужд</v>
      </c>
      <c r="C136" s="2168" t="str">
        <f>C135</f>
        <v>08</v>
      </c>
      <c r="D136" s="2124" t="s">
        <v>1368</v>
      </c>
      <c r="E136" s="2119" t="str">
        <f>E135</f>
        <v>795 06 00</v>
      </c>
      <c r="F136" s="1866">
        <f>Бюд.р.!F518</f>
        <v>200</v>
      </c>
      <c r="G136" s="2120">
        <f>Бюд.р.!H518</f>
        <v>1314.25</v>
      </c>
    </row>
    <row r="137" spans="1:7" ht="26.25" customHeight="1" x14ac:dyDescent="0.2">
      <c r="A137" s="2153" t="s">
        <v>10</v>
      </c>
      <c r="B137" s="2189" t="str">
        <f>Бюд.р.!A523</f>
        <v>Ведомственная целевая программа по военно-патриотическому воспитанию граждан муниципального образования</v>
      </c>
      <c r="C137" s="2169" t="s">
        <v>1390</v>
      </c>
      <c r="D137" s="2127" t="s">
        <v>1368</v>
      </c>
      <c r="E137" s="2128" t="str">
        <f>E138</f>
        <v>795 08 00</v>
      </c>
      <c r="F137" s="2203"/>
      <c r="G137" s="2146">
        <f>G138</f>
        <v>232.73000000000002</v>
      </c>
    </row>
    <row r="138" spans="1:7" ht="17.25" customHeight="1" x14ac:dyDescent="0.2">
      <c r="A138" s="2164" t="s">
        <v>1424</v>
      </c>
      <c r="B138" s="2188" t="str">
        <f>Бюд.р.!A524</f>
        <v>Закупка товаров, работ и услуг  для государственных (муниципальных) нужд</v>
      </c>
      <c r="C138" s="2168" t="str">
        <f>C137</f>
        <v>08</v>
      </c>
      <c r="D138" s="2124" t="s">
        <v>1368</v>
      </c>
      <c r="E138" s="2119" t="str">
        <f>Бюд.р.!D524</f>
        <v>795 08 00</v>
      </c>
      <c r="F138" s="1866">
        <f>Бюд.р.!F524</f>
        <v>200</v>
      </c>
      <c r="G138" s="2120">
        <f>Бюд.р.!H524</f>
        <v>232.73000000000002</v>
      </c>
    </row>
    <row r="139" spans="1:7" ht="18" customHeight="1" x14ac:dyDescent="0.2">
      <c r="A139" s="2161" t="s">
        <v>351</v>
      </c>
      <c r="B139" s="2190" t="str">
        <f>Бюд.р.!A528</f>
        <v>СОЦИАЛЬНАЯ ПОЛИТИКА</v>
      </c>
      <c r="C139" s="2166" t="s">
        <v>426</v>
      </c>
      <c r="D139" s="2135"/>
      <c r="E139" s="1893"/>
      <c r="F139" s="1949"/>
      <c r="G139" s="2710">
        <f>G140+G143</f>
        <v>16911.899999999998</v>
      </c>
    </row>
    <row r="140" spans="1:7" ht="17.25" customHeight="1" x14ac:dyDescent="0.2">
      <c r="A140" s="2161" t="s">
        <v>118</v>
      </c>
      <c r="B140" s="2190" t="str">
        <f>Бюд.р.!A529</f>
        <v>Социальное обеспечение населения</v>
      </c>
      <c r="C140" s="2166" t="s">
        <v>426</v>
      </c>
      <c r="D140" s="2135" t="s">
        <v>1367</v>
      </c>
      <c r="E140" s="1893"/>
      <c r="F140" s="1949"/>
      <c r="G140" s="1958">
        <f>G141</f>
        <v>970.2</v>
      </c>
    </row>
    <row r="141" spans="1:7" ht="27.75" customHeight="1" x14ac:dyDescent="0.2">
      <c r="A141" s="2162" t="s">
        <v>1232</v>
      </c>
      <c r="B141" s="2189" t="str">
        <f>Бюд.р.!A530</f>
        <v>РАСХОДЫ НА ПРЕДОСТАВЛЕНИЕ ДОПЛАТ К ПЕНСИИ ЛИЦАМ, ЗАМЕЩАВШИМ МУНИЦИПАЛЬНЫЕ ДОЛЖНОСТИ И ДОЛЖНОСТИ МУНИЦИПАЛЬНОЙ СЛУЖБЫ</v>
      </c>
      <c r="C141" s="2169" t="str">
        <f>C140</f>
        <v>10</v>
      </c>
      <c r="D141" s="2127" t="str">
        <f>D140</f>
        <v>03</v>
      </c>
      <c r="E141" s="2128" t="str">
        <f>Бюд.р.!D530</f>
        <v>505 01 00</v>
      </c>
      <c r="F141" s="2207"/>
      <c r="G141" s="2146">
        <f>G142</f>
        <v>970.2</v>
      </c>
    </row>
    <row r="142" spans="1:7" ht="14.25" customHeight="1" x14ac:dyDescent="0.2">
      <c r="A142" s="2164" t="s">
        <v>1271</v>
      </c>
      <c r="B142" s="2188" t="str">
        <f>Бюд.р.!A531</f>
        <v>Социальное обеспечение и иные выплаты населению</v>
      </c>
      <c r="C142" s="2175">
        <v>10</v>
      </c>
      <c r="D142" s="2124" t="s">
        <v>1368</v>
      </c>
      <c r="E142" s="2119" t="str">
        <f>E141</f>
        <v>505 01 00</v>
      </c>
      <c r="F142" s="1866">
        <f>Бюд.р.!F531</f>
        <v>300</v>
      </c>
      <c r="G142" s="2120">
        <f>Бюд.р.!H531</f>
        <v>970.2</v>
      </c>
    </row>
    <row r="143" spans="1:7" ht="17.25" customHeight="1" x14ac:dyDescent="0.2">
      <c r="A143" s="2161" t="s">
        <v>1272</v>
      </c>
      <c r="B143" s="2181" t="str">
        <f>Бюд.р.!A535</f>
        <v>Охрана семьи и детства</v>
      </c>
      <c r="C143" s="2176">
        <v>10</v>
      </c>
      <c r="D143" s="2135" t="s">
        <v>1368</v>
      </c>
      <c r="E143" s="1893"/>
      <c r="F143" s="2213"/>
      <c r="G143" s="1958">
        <f>G144+G147+G149</f>
        <v>15941.699999999999</v>
      </c>
    </row>
    <row r="144" spans="1:7" ht="33.75" x14ac:dyDescent="0.2">
      <c r="A144" s="2162" t="s">
        <v>1273</v>
      </c>
      <c r="B144" s="2189" t="str">
        <f>Бюд.р.!A536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44" s="2177">
        <v>10</v>
      </c>
      <c r="D144" s="2127" t="s">
        <v>1368</v>
      </c>
      <c r="E144" s="2128" t="str">
        <f>Бюд.р.!D536</f>
        <v>002 80 31</v>
      </c>
      <c r="F144" s="2207"/>
      <c r="G144" s="2146">
        <f>SUM(G145:G146)</f>
        <v>3724</v>
      </c>
    </row>
    <row r="145" spans="1:7" ht="36.75" customHeight="1" x14ac:dyDescent="0.2">
      <c r="A145" s="2164" t="s">
        <v>1425</v>
      </c>
      <c r="B145" s="2188" t="str">
        <f>Бюд.р.!A537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5" s="2175">
        <v>10</v>
      </c>
      <c r="D145" s="2124" t="str">
        <f>D144</f>
        <v>04</v>
      </c>
      <c r="E145" s="2119" t="str">
        <f>E144</f>
        <v>002 80 31</v>
      </c>
      <c r="F145" s="1866">
        <f>Бюд.р.!F537</f>
        <v>100</v>
      </c>
      <c r="G145" s="2120">
        <f>Бюд.р.!H537</f>
        <v>3469.0160000000001</v>
      </c>
    </row>
    <row r="146" spans="1:7" ht="19.5" customHeight="1" x14ac:dyDescent="0.2">
      <c r="A146" s="2163" t="s">
        <v>1426</v>
      </c>
      <c r="B146" s="2188" t="str">
        <f>Бюд.р.!A543</f>
        <v>Закупка товаров, работ и услуг  для государственных (муниципальных) нужд</v>
      </c>
      <c r="C146" s="2175">
        <f>C145</f>
        <v>10</v>
      </c>
      <c r="D146" s="2124" t="str">
        <f>D145</f>
        <v>04</v>
      </c>
      <c r="E146" s="2119" t="str">
        <f>E145</f>
        <v>002 80 31</v>
      </c>
      <c r="F146" s="2206">
        <f>Бюд.р.!F543</f>
        <v>200</v>
      </c>
      <c r="G146" s="2122">
        <f>Бюд.р.!H543</f>
        <v>254.98399999999998</v>
      </c>
    </row>
    <row r="147" spans="1:7" ht="39" customHeight="1" x14ac:dyDescent="0.2">
      <c r="A147" s="2160" t="s">
        <v>1392</v>
      </c>
      <c r="B147" s="2186" t="str">
        <f>Бюд.р.!A557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7" s="2177">
        <f>C146</f>
        <v>10</v>
      </c>
      <c r="D147" s="2127" t="str">
        <f>D146</f>
        <v>04</v>
      </c>
      <c r="E147" s="2128" t="str">
        <f>Бюд.р.!D557</f>
        <v>511 80 32</v>
      </c>
      <c r="F147" s="2203"/>
      <c r="G147" s="2146">
        <f>G148</f>
        <v>9259.7999999999993</v>
      </c>
    </row>
    <row r="148" spans="1:7" ht="15.75" customHeight="1" x14ac:dyDescent="0.2">
      <c r="A148" s="2163" t="s">
        <v>1427</v>
      </c>
      <c r="B148" s="2183" t="str">
        <f>Бюд.р.!A558</f>
        <v>Социальное обеспечение и иные выплаты населению</v>
      </c>
      <c r="C148" s="2175">
        <f>C147</f>
        <v>10</v>
      </c>
      <c r="D148" s="2124" t="str">
        <f>D147</f>
        <v>04</v>
      </c>
      <c r="E148" s="2119" t="str">
        <f>E147</f>
        <v>511 80 32</v>
      </c>
      <c r="F148" s="2206">
        <f>Бюд.р.!F558</f>
        <v>300</v>
      </c>
      <c r="G148" s="2120">
        <f>Бюд.р.!H558</f>
        <v>9259.7999999999993</v>
      </c>
    </row>
    <row r="149" spans="1:7" ht="36" customHeight="1" x14ac:dyDescent="0.2">
      <c r="A149" s="2160" t="s">
        <v>1393</v>
      </c>
      <c r="B149" s="2186" t="str">
        <f>Бюд.р.!A562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9" s="2177">
        <f>C148</f>
        <v>10</v>
      </c>
      <c r="D149" s="2127" t="str">
        <f>D148</f>
        <v>04</v>
      </c>
      <c r="E149" s="2128" t="str">
        <f>Бюд.р.!D562</f>
        <v>511 80 33</v>
      </c>
      <c r="F149" s="2203"/>
      <c r="G149" s="2146">
        <f>G150</f>
        <v>2957.9</v>
      </c>
    </row>
    <row r="150" spans="1:7" x14ac:dyDescent="0.2">
      <c r="A150" s="2163" t="s">
        <v>1428</v>
      </c>
      <c r="B150" s="2184" t="str">
        <f>Бюд.р.!A563</f>
        <v>Социальное обеспечение и иные выплаты населению</v>
      </c>
      <c r="C150" s="2175">
        <f>C149</f>
        <v>10</v>
      </c>
      <c r="D150" s="2124" t="str">
        <f>D149</f>
        <v>04</v>
      </c>
      <c r="E150" s="2119" t="str">
        <f>E149</f>
        <v>511 80 33</v>
      </c>
      <c r="F150" s="2206">
        <f>Бюд.р.!F563</f>
        <v>300</v>
      </c>
      <c r="G150" s="2120">
        <f>Бюд.р.!H563</f>
        <v>2957.9</v>
      </c>
    </row>
    <row r="151" spans="1:7" ht="18.75" customHeight="1" x14ac:dyDescent="0.2">
      <c r="A151" s="2161" t="s">
        <v>893</v>
      </c>
      <c r="B151" s="2949" t="str">
        <f>Бюд.р.!A575</f>
        <v xml:space="preserve"> ФИЗИЧЕСКАЯ КУЛЬТУРА И СПОРТ</v>
      </c>
      <c r="C151" s="2166" t="s">
        <v>114</v>
      </c>
      <c r="D151" s="2135"/>
      <c r="E151" s="1893"/>
      <c r="F151" s="1949"/>
      <c r="G151" s="2710">
        <f>G152</f>
        <v>3557.8850000000002</v>
      </c>
    </row>
    <row r="152" spans="1:7" x14ac:dyDescent="0.2">
      <c r="A152" s="2161" t="s">
        <v>111</v>
      </c>
      <c r="B152" s="2190" t="str">
        <f>Бюд.р.!A576</f>
        <v>Массовый спорт</v>
      </c>
      <c r="C152" s="2166" t="s">
        <v>114</v>
      </c>
      <c r="D152" s="2135" t="s">
        <v>1366</v>
      </c>
      <c r="E152" s="1893"/>
      <c r="F152" s="1949"/>
      <c r="G152" s="1958">
        <f>G153</f>
        <v>3557.8850000000002</v>
      </c>
    </row>
    <row r="153" spans="1:7" ht="51.75" customHeight="1" x14ac:dyDescent="0.2">
      <c r="A153" s="2160" t="s">
        <v>1233</v>
      </c>
      <c r="B153" s="2186" t="str">
        <f>Бюд.р.!A577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53" s="2172" t="s">
        <v>114</v>
      </c>
      <c r="D153" s="2137" t="s">
        <v>1366</v>
      </c>
      <c r="E153" s="2138" t="str">
        <f>Бюд.р.!D577</f>
        <v>795 10 00</v>
      </c>
      <c r="F153" s="2209"/>
      <c r="G153" s="2147">
        <f>G154</f>
        <v>3557.8850000000002</v>
      </c>
    </row>
    <row r="154" spans="1:7" ht="19.5" customHeight="1" x14ac:dyDescent="0.2">
      <c r="A154" s="2163" t="s">
        <v>1429</v>
      </c>
      <c r="B154" s="2183" t="str">
        <f>Бюд.р.!A578</f>
        <v>Закупка товаров, работ и услуг  для государственных (муниципальных) нужд</v>
      </c>
      <c r="C154" s="2168" t="s">
        <v>114</v>
      </c>
      <c r="D154" s="2124" t="s">
        <v>1366</v>
      </c>
      <c r="E154" s="2119" t="str">
        <f>E153</f>
        <v>795 10 00</v>
      </c>
      <c r="F154" s="1866">
        <f>Бюд.р.!F578</f>
        <v>200</v>
      </c>
      <c r="G154" s="2120">
        <f>Бюд.р.!H578</f>
        <v>3557.8850000000002</v>
      </c>
    </row>
    <row r="155" spans="1:7" ht="15.75" customHeight="1" x14ac:dyDescent="0.2">
      <c r="A155" s="2161" t="s">
        <v>425</v>
      </c>
      <c r="B155" s="2181" t="str">
        <f>Бюд.р.!A589</f>
        <v>СРЕДСТВА МАССОВОЙ ИНФОРМАЦИИ</v>
      </c>
      <c r="C155" s="2166" t="s">
        <v>5</v>
      </c>
      <c r="D155" s="2135"/>
      <c r="E155" s="1893"/>
      <c r="F155" s="1949"/>
      <c r="G155" s="2710">
        <f>G156</f>
        <v>1800</v>
      </c>
    </row>
    <row r="156" spans="1:7" ht="17.25" customHeight="1" x14ac:dyDescent="0.2">
      <c r="A156" s="2161" t="s">
        <v>112</v>
      </c>
      <c r="B156" s="2181" t="str">
        <f>Бюд.р.!A590</f>
        <v>Периодическая печать и издательства</v>
      </c>
      <c r="C156" s="2176">
        <v>12</v>
      </c>
      <c r="D156" s="2135" t="s">
        <v>1366</v>
      </c>
      <c r="E156" s="1893"/>
      <c r="F156" s="1949"/>
      <c r="G156" s="1958">
        <f>G157</f>
        <v>1800</v>
      </c>
    </row>
    <row r="157" spans="1:7" ht="18" customHeight="1" x14ac:dyDescent="0.2">
      <c r="A157" s="2160" t="s">
        <v>113</v>
      </c>
      <c r="B157" s="2186" t="str">
        <f>Бюд.р.!A591</f>
        <v xml:space="preserve">ОПУБЛИКОВАНИЕ МУНИЦИПАЛЬНЫХ ПРАВОВЫХ АКТОВ, ИНОЙ ИНФОРМАЦИИ </v>
      </c>
      <c r="C157" s="2177">
        <v>12</v>
      </c>
      <c r="D157" s="2127" t="s">
        <v>1366</v>
      </c>
      <c r="E157" s="2128" t="str">
        <f>Бюд.р.!D591</f>
        <v>457 03 00</v>
      </c>
      <c r="F157" s="2203"/>
      <c r="G157" s="2146">
        <f>G158</f>
        <v>1800</v>
      </c>
    </row>
    <row r="158" spans="1:7" x14ac:dyDescent="0.2">
      <c r="A158" s="2163" t="s">
        <v>1067</v>
      </c>
      <c r="B158" s="2183" t="str">
        <f>Бюд.р.!A592</f>
        <v>Закупка товаров, работ и услуг  для государственных (муниципальных) нужд</v>
      </c>
      <c r="C158" s="2175">
        <f>C157</f>
        <v>12</v>
      </c>
      <c r="D158" s="2124" t="str">
        <f>D157</f>
        <v>02</v>
      </c>
      <c r="E158" s="2119" t="str">
        <f>E157</f>
        <v>457 03 00</v>
      </c>
      <c r="F158" s="2210">
        <f>Бюд.р.!F592</f>
        <v>200</v>
      </c>
      <c r="G158" s="2120">
        <f>Бюд.р.!H592</f>
        <v>1800</v>
      </c>
    </row>
    <row r="159" spans="1:7" ht="18" customHeight="1" thickBot="1" x14ac:dyDescent="0.25">
      <c r="A159" s="2165"/>
      <c r="B159" s="2199" t="s">
        <v>348</v>
      </c>
      <c r="C159" s="2178"/>
      <c r="D159" s="2150"/>
      <c r="E159" s="2150"/>
      <c r="F159" s="2214"/>
      <c r="G159" s="2215">
        <f>G21+G68+G74+G81+G108+G130+G139+G151+G155</f>
        <v>124658.99999999997</v>
      </c>
    </row>
    <row r="160" spans="1:7" ht="16.5" customHeight="1" x14ac:dyDescent="0.2"/>
  </sheetData>
  <mergeCells count="19">
    <mergeCell ref="C7:G7"/>
    <mergeCell ref="A8:G8"/>
    <mergeCell ref="B9:G9"/>
    <mergeCell ref="A16:G16"/>
    <mergeCell ref="A17:G17"/>
    <mergeCell ref="B18:G18"/>
    <mergeCell ref="C10:G10"/>
    <mergeCell ref="A11:G11"/>
    <mergeCell ref="B12:G12"/>
    <mergeCell ref="C13:G13"/>
    <mergeCell ref="A14:G14"/>
    <mergeCell ref="B15:G15"/>
    <mergeCell ref="B6:G6"/>
    <mergeCell ref="A1:B1"/>
    <mergeCell ref="C1:G1"/>
    <mergeCell ref="A2:G2"/>
    <mergeCell ref="B3:G3"/>
    <mergeCell ref="B4:G4"/>
    <mergeCell ref="B5:G5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12" sqref="G12"/>
    </sheetView>
  </sheetViews>
  <sheetFormatPr defaultRowHeight="12.75" x14ac:dyDescent="0.2"/>
  <cols>
    <col min="1" max="1" width="5.7109375" customWidth="1"/>
    <col min="2" max="2" width="64.7109375" customWidth="1"/>
    <col min="3" max="3" width="4.85546875" customWidth="1"/>
    <col min="4" max="4" width="4.140625" customWidth="1"/>
    <col min="5" max="5" width="9.5703125" customWidth="1"/>
  </cols>
  <sheetData>
    <row r="1" spans="1:5" ht="15" x14ac:dyDescent="0.25">
      <c r="A1" s="3020"/>
      <c r="B1" s="3020"/>
      <c r="C1" s="3017" t="s">
        <v>1533</v>
      </c>
      <c r="D1" s="3017"/>
      <c r="E1" s="3017"/>
    </row>
    <row r="2" spans="1:5" ht="15" x14ac:dyDescent="0.25">
      <c r="A2" s="3017" t="s">
        <v>470</v>
      </c>
      <c r="B2" s="3017"/>
      <c r="C2" s="3017"/>
      <c r="D2" s="3017"/>
      <c r="E2" s="3017"/>
    </row>
    <row r="3" spans="1:5" ht="15" x14ac:dyDescent="0.25">
      <c r="A3" s="1016"/>
      <c r="B3" s="3017" t="s">
        <v>1537</v>
      </c>
      <c r="C3" s="3018"/>
      <c r="D3" s="3018"/>
      <c r="E3" s="3018"/>
    </row>
    <row r="4" spans="1:5" ht="15" x14ac:dyDescent="0.25">
      <c r="A4" s="1016"/>
      <c r="B4" s="3017" t="s">
        <v>1558</v>
      </c>
      <c r="C4" s="3018"/>
      <c r="D4" s="3018"/>
      <c r="E4" s="3018"/>
    </row>
    <row r="5" spans="1:5" ht="15" x14ac:dyDescent="0.25">
      <c r="A5" s="1016"/>
      <c r="B5" s="3017" t="s">
        <v>470</v>
      </c>
      <c r="C5" s="3017"/>
      <c r="D5" s="3017"/>
      <c r="E5" s="3017"/>
    </row>
    <row r="6" spans="1:5" ht="15" x14ac:dyDescent="0.25">
      <c r="A6" s="1016"/>
      <c r="B6" s="3017" t="s">
        <v>1557</v>
      </c>
      <c r="C6" s="3018"/>
      <c r="D6" s="3018"/>
      <c r="E6" s="3018"/>
    </row>
    <row r="7" spans="1:5" ht="48.75" customHeight="1" x14ac:dyDescent="0.25">
      <c r="A7" s="3187" t="s">
        <v>1534</v>
      </c>
      <c r="B7" s="3187"/>
      <c r="C7" s="3187"/>
      <c r="D7" s="3187"/>
      <c r="E7" s="3187"/>
    </row>
    <row r="8" spans="1:5" ht="18.75" x14ac:dyDescent="0.3">
      <c r="A8" s="3000" t="s">
        <v>1459</v>
      </c>
      <c r="B8" s="3000"/>
      <c r="C8" s="3000"/>
      <c r="D8" s="3000"/>
      <c r="E8" s="3000"/>
    </row>
    <row r="9" spans="1:5" ht="13.5" customHeight="1" thickBot="1" x14ac:dyDescent="0.35">
      <c r="A9" s="181"/>
      <c r="B9" s="2999" t="s">
        <v>272</v>
      </c>
      <c r="C9" s="2999"/>
      <c r="D9" s="2999"/>
      <c r="E9" s="2999"/>
    </row>
    <row r="10" spans="1:5" ht="13.5" thickBot="1" x14ac:dyDescent="0.25">
      <c r="A10" s="2140" t="s">
        <v>955</v>
      </c>
      <c r="B10" s="2141" t="s">
        <v>273</v>
      </c>
      <c r="C10" s="2141" t="s">
        <v>1395</v>
      </c>
      <c r="D10" s="2141" t="s">
        <v>1396</v>
      </c>
      <c r="E10" s="2220" t="s">
        <v>322</v>
      </c>
    </row>
    <row r="11" spans="1:5" x14ac:dyDescent="0.2">
      <c r="A11" s="2881" t="s">
        <v>811</v>
      </c>
      <c r="B11" s="2882">
        <v>2</v>
      </c>
      <c r="C11" s="2883" t="s">
        <v>526</v>
      </c>
      <c r="D11" s="2884" t="s">
        <v>745</v>
      </c>
      <c r="E11" s="2885">
        <v>5</v>
      </c>
    </row>
    <row r="12" spans="1:5" x14ac:dyDescent="0.2">
      <c r="A12" s="2891" t="s">
        <v>811</v>
      </c>
      <c r="B12" s="2892" t="s">
        <v>122</v>
      </c>
      <c r="C12" s="2891" t="s">
        <v>1365</v>
      </c>
      <c r="D12" s="2891"/>
      <c r="E12" s="2893">
        <f>SUM(E13:E17)</f>
        <v>35161.546999999991</v>
      </c>
    </row>
    <row r="13" spans="1:5" ht="28.5" customHeight="1" x14ac:dyDescent="0.2">
      <c r="A13" s="2712" t="s">
        <v>299</v>
      </c>
      <c r="B13" s="2896" t="str">
        <f>Бюд.р.!A59</f>
        <v>Функционирование высшего должностного лица субъекта Российской Федерации и муниципального образования</v>
      </c>
      <c r="C13" s="2712" t="s">
        <v>1365</v>
      </c>
      <c r="D13" s="2712" t="s">
        <v>1366</v>
      </c>
      <c r="E13" s="2897">
        <f>Бюд.р.!H59</f>
        <v>1117.634</v>
      </c>
    </row>
    <row r="14" spans="1:5" ht="39" customHeight="1" x14ac:dyDescent="0.2">
      <c r="A14" s="2712" t="s">
        <v>287</v>
      </c>
      <c r="B14" s="2898" t="str">
        <f>Бюд.р.!A66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712" t="s">
        <v>1365</v>
      </c>
      <c r="D14" s="2712" t="s">
        <v>1367</v>
      </c>
      <c r="E14" s="2897">
        <f>Бюд.р.!H66</f>
        <v>3261.1660000000002</v>
      </c>
    </row>
    <row r="15" spans="1:5" ht="38.25" customHeight="1" x14ac:dyDescent="0.2">
      <c r="A15" s="2712" t="s">
        <v>744</v>
      </c>
      <c r="B15" s="2898" t="str">
        <f>Бюд.р.!A150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2712" t="s">
        <v>1365</v>
      </c>
      <c r="D15" s="2712" t="s">
        <v>1368</v>
      </c>
      <c r="E15" s="2897">
        <f>Бюд.р.!H150</f>
        <v>26767.585999999996</v>
      </c>
    </row>
    <row r="16" spans="1:5" x14ac:dyDescent="0.2">
      <c r="A16" s="2712" t="s">
        <v>496</v>
      </c>
      <c r="B16" s="2896" t="str">
        <f>Бюд.р.!A220</f>
        <v>Резервные фонды</v>
      </c>
      <c r="C16" s="2712" t="s">
        <v>1365</v>
      </c>
      <c r="D16" s="2712" t="s">
        <v>114</v>
      </c>
      <c r="E16" s="2897">
        <f>Бюд.р.!H220</f>
        <v>2739.1710000000003</v>
      </c>
    </row>
    <row r="17" spans="1:5" x14ac:dyDescent="0.2">
      <c r="A17" s="2712" t="s">
        <v>786</v>
      </c>
      <c r="B17" s="2896" t="str">
        <f>Бюд.р.!A226</f>
        <v>Другие общегосударственные вопросы</v>
      </c>
      <c r="C17" s="2712" t="s">
        <v>1365</v>
      </c>
      <c r="D17" s="2712" t="s">
        <v>583</v>
      </c>
      <c r="E17" s="2897">
        <f>Бюд.р.!H226+Бюд.р.!H103</f>
        <v>1275.99</v>
      </c>
    </row>
    <row r="18" spans="1:5" ht="25.5" customHeight="1" x14ac:dyDescent="0.2">
      <c r="A18" s="2891" t="s">
        <v>924</v>
      </c>
      <c r="B18" s="2892" t="str">
        <f>Бюд.р.!A279</f>
        <v>НАЦИОНАЛЬНАЯ БЕЗОПАСНОСТЬ И ПРАВООХРАНИТЕЛЬНАЯ ДЕЯТЕЛЬНОСТЬ</v>
      </c>
      <c r="C18" s="2891" t="s">
        <v>1367</v>
      </c>
      <c r="D18" s="2891"/>
      <c r="E18" s="2893">
        <f>E19</f>
        <v>276.351</v>
      </c>
    </row>
    <row r="19" spans="1:5" ht="24" x14ac:dyDescent="0.2">
      <c r="A19" s="2712" t="s">
        <v>334</v>
      </c>
      <c r="B19" s="2896" t="str">
        <f>Бюд.р.!A280</f>
        <v>Защита населения и территории от чрезвычайных ситуаций природного и техногенного характера, гражданская оборона</v>
      </c>
      <c r="C19" s="2712" t="s">
        <v>1367</v>
      </c>
      <c r="D19" s="2712" t="s">
        <v>1371</v>
      </c>
      <c r="E19" s="2897">
        <f>Бюд.р.!H280</f>
        <v>276.351</v>
      </c>
    </row>
    <row r="20" spans="1:5" x14ac:dyDescent="0.2">
      <c r="A20" s="2891" t="s">
        <v>526</v>
      </c>
      <c r="B20" s="2892" t="str">
        <f>Бюд.р.!A308</f>
        <v>НАЦИОНАЛЬНАЯ ЭКОНОМИКА</v>
      </c>
      <c r="C20" s="2891" t="s">
        <v>1368</v>
      </c>
      <c r="D20" s="2891"/>
      <c r="E20" s="2893">
        <f>SUM(E21:E22)</f>
        <v>186.5</v>
      </c>
    </row>
    <row r="21" spans="1:5" x14ac:dyDescent="0.2">
      <c r="A21" s="2712" t="s">
        <v>289</v>
      </c>
      <c r="B21" s="2896" t="str">
        <f>Бюд.р.!A309</f>
        <v>Общеэкономические вопросы</v>
      </c>
      <c r="C21" s="2712" t="s">
        <v>1368</v>
      </c>
      <c r="D21" s="2712" t="s">
        <v>1365</v>
      </c>
      <c r="E21" s="2897">
        <f>Бюд.р.!H309</f>
        <v>166.5</v>
      </c>
    </row>
    <row r="22" spans="1:5" x14ac:dyDescent="0.2">
      <c r="A22" s="2712" t="s">
        <v>8</v>
      </c>
      <c r="B22" s="2899" t="str">
        <f>Бюд.р.!A320</f>
        <v>Другие вопросы в области национальной экономики</v>
      </c>
      <c r="C22" s="2712" t="s">
        <v>1368</v>
      </c>
      <c r="D22" s="2712" t="s">
        <v>5</v>
      </c>
      <c r="E22" s="2897">
        <f>Бюд.р.!H320</f>
        <v>20</v>
      </c>
    </row>
    <row r="23" spans="1:5" x14ac:dyDescent="0.2">
      <c r="A23" s="2891" t="s">
        <v>745</v>
      </c>
      <c r="B23" s="2892" t="str">
        <f>Бюд.р.!A326</f>
        <v>ЖИЛИЩНО-КОММУНАЛЬНОЕ ХОЗЯЙСТВО</v>
      </c>
      <c r="C23" s="2891" t="s">
        <v>1372</v>
      </c>
      <c r="D23" s="2891"/>
      <c r="E23" s="2893">
        <f>E24</f>
        <v>50864.908000000003</v>
      </c>
    </row>
    <row r="24" spans="1:5" x14ac:dyDescent="0.2">
      <c r="A24" s="2712" t="s">
        <v>746</v>
      </c>
      <c r="B24" s="2896" t="str">
        <f>Бюд.р.!A327</f>
        <v>Благоустройство</v>
      </c>
      <c r="C24" s="2712" t="s">
        <v>1372</v>
      </c>
      <c r="D24" s="2712" t="s">
        <v>1367</v>
      </c>
      <c r="E24" s="2897">
        <f>Бюд.р.!H327</f>
        <v>50864.908000000003</v>
      </c>
    </row>
    <row r="25" spans="1:5" x14ac:dyDescent="0.2">
      <c r="A25" s="2891" t="s">
        <v>349</v>
      </c>
      <c r="B25" s="2892" t="str">
        <f>Бюд.р.!A440</f>
        <v>ОБРАЗОВАНИЕ</v>
      </c>
      <c r="C25" s="2891" t="s">
        <v>1370</v>
      </c>
      <c r="D25" s="2891"/>
      <c r="E25" s="2893">
        <f>SUM(E26:E28)</f>
        <v>4271.1000000000004</v>
      </c>
    </row>
    <row r="26" spans="1:5" ht="20.25" customHeight="1" x14ac:dyDescent="0.2">
      <c r="A26" s="2712" t="s">
        <v>805</v>
      </c>
      <c r="B26" s="2896" t="str">
        <f>Бюд.р.!A441</f>
        <v xml:space="preserve">Профессиональная подготовка, переподготовка и повышение квалификации
</v>
      </c>
      <c r="C26" s="2712" t="s">
        <v>1370</v>
      </c>
      <c r="D26" s="2712" t="s">
        <v>1372</v>
      </c>
      <c r="E26" s="2897">
        <f>Бюд.р.!H441</f>
        <v>255</v>
      </c>
    </row>
    <row r="27" spans="1:5" x14ac:dyDescent="0.2">
      <c r="A27" s="2900" t="s">
        <v>890</v>
      </c>
      <c r="B27" s="2898" t="str">
        <f>Бюд.р.!A454</f>
        <v>Молодежная политика и оздоровление детей</v>
      </c>
      <c r="C27" s="2712" t="s">
        <v>1370</v>
      </c>
      <c r="D27" s="2712" t="s">
        <v>1370</v>
      </c>
      <c r="E27" s="2897">
        <f>Бюд.р.!H454</f>
        <v>3879.6000000000004</v>
      </c>
    </row>
    <row r="28" spans="1:5" x14ac:dyDescent="0.2">
      <c r="A28" s="2900" t="s">
        <v>16</v>
      </c>
      <c r="B28" s="2899" t="str">
        <f>Бюд.р.!A490</f>
        <v>Другие вопросы в области образования</v>
      </c>
      <c r="C28" s="2712" t="s">
        <v>1370</v>
      </c>
      <c r="D28" s="2712" t="s">
        <v>1371</v>
      </c>
      <c r="E28" s="2897">
        <f>Бюд.р.!H490</f>
        <v>136.5</v>
      </c>
    </row>
    <row r="29" spans="1:5" x14ac:dyDescent="0.2">
      <c r="A29" s="2894" t="s">
        <v>350</v>
      </c>
      <c r="B29" s="2895" t="str">
        <f>Бюд.р.!A506</f>
        <v xml:space="preserve">КУЛЬТУРА, КИНЕМАТОГРАФИЯ </v>
      </c>
      <c r="C29" s="2891" t="s">
        <v>1390</v>
      </c>
      <c r="D29" s="2891"/>
      <c r="E29" s="2893">
        <f>SUM(E30:E31)</f>
        <v>11628.808999999999</v>
      </c>
    </row>
    <row r="30" spans="1:5" x14ac:dyDescent="0.2">
      <c r="A30" s="2900" t="s">
        <v>806</v>
      </c>
      <c r="B30" s="2902" t="str">
        <f>Бюд.р.!A507</f>
        <v>Культура</v>
      </c>
      <c r="C30" s="2712" t="s">
        <v>1390</v>
      </c>
      <c r="D30" s="2712" t="s">
        <v>1365</v>
      </c>
      <c r="E30" s="2897">
        <f>Бюд.р.!H507</f>
        <v>10081.829</v>
      </c>
    </row>
    <row r="31" spans="1:5" x14ac:dyDescent="0.2">
      <c r="A31" s="2900" t="s">
        <v>891</v>
      </c>
      <c r="B31" s="2901" t="str">
        <f>Бюд.р.!A516</f>
        <v>Другие вопросы в области культуры, кинематографии</v>
      </c>
      <c r="C31" s="2712" t="s">
        <v>1390</v>
      </c>
      <c r="D31" s="2900" t="s">
        <v>1368</v>
      </c>
      <c r="E31" s="2897">
        <f>Бюд.р.!H516</f>
        <v>1546.98</v>
      </c>
    </row>
    <row r="32" spans="1:5" x14ac:dyDescent="0.2">
      <c r="A32" s="2894" t="s">
        <v>351</v>
      </c>
      <c r="B32" s="2895" t="str">
        <f>Бюд.р.!A528</f>
        <v>СОЦИАЛЬНАЯ ПОЛИТИКА</v>
      </c>
      <c r="C32" s="2891" t="s">
        <v>426</v>
      </c>
      <c r="D32" s="2891"/>
      <c r="E32" s="2893">
        <f>SUM(E33:E34)</f>
        <v>16911.900000000001</v>
      </c>
    </row>
    <row r="33" spans="1:5" x14ac:dyDescent="0.2">
      <c r="A33" s="2900" t="s">
        <v>118</v>
      </c>
      <c r="B33" s="2902" t="str">
        <f>Бюд.р.!A529</f>
        <v>Социальное обеспечение населения</v>
      </c>
      <c r="C33" s="2712" t="s">
        <v>426</v>
      </c>
      <c r="D33" s="2712" t="s">
        <v>1367</v>
      </c>
      <c r="E33" s="2897">
        <f>Бюд.р.!H529</f>
        <v>970.2</v>
      </c>
    </row>
    <row r="34" spans="1:5" x14ac:dyDescent="0.2">
      <c r="A34" s="2900" t="s">
        <v>1272</v>
      </c>
      <c r="B34" s="2899" t="str">
        <f>Бюд.р.!A535</f>
        <v>Охрана семьи и детства</v>
      </c>
      <c r="C34" s="2712" t="s">
        <v>426</v>
      </c>
      <c r="D34" s="2900" t="s">
        <v>1368</v>
      </c>
      <c r="E34" s="2897">
        <f>Бюд.р.!H535</f>
        <v>15941.7</v>
      </c>
    </row>
    <row r="35" spans="1:5" x14ac:dyDescent="0.2">
      <c r="A35" s="2894" t="s">
        <v>893</v>
      </c>
      <c r="B35" s="2895" t="str">
        <f>Бюд.р.!A575</f>
        <v xml:space="preserve"> ФИЗИЧЕСКАЯ КУЛЬТУРА И СПОРТ</v>
      </c>
      <c r="C35" s="2891" t="s">
        <v>114</v>
      </c>
      <c r="D35" s="2891"/>
      <c r="E35" s="2893">
        <f>E36</f>
        <v>3557.8850000000002</v>
      </c>
    </row>
    <row r="36" spans="1:5" x14ac:dyDescent="0.2">
      <c r="A36" s="2900" t="s">
        <v>111</v>
      </c>
      <c r="B36" s="2902" t="str">
        <f>Бюд.р.!A576</f>
        <v>Массовый спорт</v>
      </c>
      <c r="C36" s="2712" t="s">
        <v>114</v>
      </c>
      <c r="D36" s="2712" t="s">
        <v>1366</v>
      </c>
      <c r="E36" s="2897">
        <f>Бюд.р.!H576</f>
        <v>3557.8850000000002</v>
      </c>
    </row>
    <row r="37" spans="1:5" x14ac:dyDescent="0.2">
      <c r="A37" s="2894" t="s">
        <v>425</v>
      </c>
      <c r="B37" s="2895" t="str">
        <f>Бюд.р.!A589</f>
        <v>СРЕДСТВА МАССОВОЙ ИНФОРМАЦИИ</v>
      </c>
      <c r="C37" s="2891" t="s">
        <v>5</v>
      </c>
      <c r="D37" s="2891"/>
      <c r="E37" s="2893">
        <f>E38</f>
        <v>1800</v>
      </c>
    </row>
    <row r="38" spans="1:5" x14ac:dyDescent="0.2">
      <c r="A38" s="2900" t="s">
        <v>112</v>
      </c>
      <c r="B38" s="2902" t="str">
        <f>Бюд.р.!A590</f>
        <v>Периодическая печать и издательства</v>
      </c>
      <c r="C38" s="2712" t="s">
        <v>5</v>
      </c>
      <c r="D38" s="2712" t="s">
        <v>1366</v>
      </c>
      <c r="E38" s="2897">
        <f>Бюд.р.!H590</f>
        <v>1800</v>
      </c>
    </row>
    <row r="39" spans="1:5" ht="15.75" x14ac:dyDescent="0.25">
      <c r="A39" s="2886"/>
      <c r="B39" s="2887" t="s">
        <v>348</v>
      </c>
      <c r="C39" s="2888"/>
      <c r="D39" s="2889"/>
      <c r="E39" s="2890">
        <f>E12+E18+E20+E23+E25+E29+E32+E35+E37</f>
        <v>124658.99999999999</v>
      </c>
    </row>
  </sheetData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view="pageBreakPreview" topLeftCell="B3" zoomScaleNormal="100" workbookViewId="0">
      <selection activeCell="C4" sqref="C4:I4"/>
    </sheetView>
  </sheetViews>
  <sheetFormatPr defaultRowHeight="12.75" x14ac:dyDescent="0.2"/>
  <cols>
    <col min="1" max="1" width="7.7109375" hidden="1" customWidth="1"/>
    <col min="2" max="2" width="6.140625" customWidth="1"/>
    <col min="3" max="3" width="50.28515625" customWidth="1"/>
    <col min="4" max="4" width="7.5703125" customWidth="1"/>
    <col min="6" max="6" width="9.42578125" customWidth="1"/>
    <col min="7" max="7" width="5.5703125" customWidth="1"/>
    <col min="8" max="8" width="8.5703125" hidden="1" customWidth="1"/>
    <col min="9" max="9" width="9.28515625" customWidth="1"/>
    <col min="10" max="10" width="7.140625" hidden="1" customWidth="1"/>
    <col min="11" max="11" width="8.42578125" hidden="1" customWidth="1"/>
    <col min="12" max="12" width="9.28515625" hidden="1" customWidth="1"/>
    <col min="13" max="13" width="8" hidden="1" customWidth="1"/>
    <col min="14" max="14" width="0" hidden="1" customWidth="1"/>
  </cols>
  <sheetData>
    <row r="1" spans="3:13" ht="15.75" hidden="1" x14ac:dyDescent="0.25">
      <c r="C1" s="2997"/>
      <c r="D1" s="2997"/>
      <c r="E1" s="2997"/>
      <c r="F1" s="2997"/>
      <c r="G1" s="2997"/>
      <c r="H1" s="2997"/>
      <c r="I1" s="2997"/>
      <c r="J1" s="17"/>
      <c r="K1" s="17"/>
      <c r="L1" s="17"/>
      <c r="M1" s="17"/>
    </row>
    <row r="2" spans="3:13" ht="15.75" hidden="1" x14ac:dyDescent="0.25">
      <c r="C2" s="2997" t="str">
        <f>Бюд.р.!D114</f>
        <v xml:space="preserve"> Утверждено Распоряжением МА МО Озеро Долгое</v>
      </c>
      <c r="D2" s="2997"/>
      <c r="E2" s="2997"/>
      <c r="F2" s="2997"/>
      <c r="G2" s="2997"/>
      <c r="H2" s="2997"/>
      <c r="I2" s="2997"/>
      <c r="J2" s="17"/>
      <c r="K2" s="17"/>
      <c r="L2" s="17"/>
      <c r="M2" s="17"/>
    </row>
    <row r="3" spans="3:13" ht="15.75" x14ac:dyDescent="0.25">
      <c r="C3" s="2998" t="str">
        <f>Бюд.р.!D115</f>
        <v>№ 02-03-01 от 12.01.2015</v>
      </c>
      <c r="D3" s="2997"/>
      <c r="E3" s="2997"/>
      <c r="F3" s="2997"/>
      <c r="G3" s="2997"/>
      <c r="H3" s="2997"/>
      <c r="I3" s="2997"/>
      <c r="J3" s="17"/>
      <c r="K3" s="17"/>
      <c r="L3" s="17"/>
      <c r="M3" s="17"/>
    </row>
    <row r="4" spans="3:13" ht="15.75" x14ac:dyDescent="0.25">
      <c r="C4" s="2994" t="str">
        <f>Бюд.р.!D116</f>
        <v>№ 02-03-02 от 14.01.2015</v>
      </c>
      <c r="D4" s="2994"/>
      <c r="E4" s="2994"/>
      <c r="F4" s="2994"/>
      <c r="G4" s="2994"/>
      <c r="H4" s="2994"/>
      <c r="I4" s="2994"/>
      <c r="J4" s="17"/>
      <c r="K4" s="17"/>
      <c r="L4" s="17"/>
      <c r="M4" s="17"/>
    </row>
    <row r="5" spans="3:13" ht="15.75" x14ac:dyDescent="0.25">
      <c r="C5" s="2994" t="str">
        <f>Бюд.р.!D117</f>
        <v>№ 02-03-03 от 30.01.2015</v>
      </c>
      <c r="D5" s="2994"/>
      <c r="E5" s="2994"/>
      <c r="F5" s="2994"/>
      <c r="G5" s="2994"/>
      <c r="H5" s="2994"/>
      <c r="I5" s="2994"/>
      <c r="J5" s="17"/>
      <c r="K5" s="17"/>
      <c r="L5" s="17"/>
      <c r="M5" s="17"/>
    </row>
    <row r="6" spans="3:13" ht="15.75" hidden="1" customHeight="1" x14ac:dyDescent="0.25">
      <c r="C6" s="2994" t="e">
        <f>Бюд.р.!#REF!</f>
        <v>#REF!</v>
      </c>
      <c r="D6" s="2994"/>
      <c r="E6" s="2994"/>
      <c r="F6" s="2994"/>
      <c r="G6" s="2994"/>
      <c r="H6" s="2994"/>
      <c r="I6" s="2994"/>
      <c r="J6" s="17"/>
      <c r="K6" s="17"/>
      <c r="L6" s="17"/>
      <c r="M6" s="17"/>
    </row>
    <row r="7" spans="3:13" ht="15.75" hidden="1" customHeight="1" x14ac:dyDescent="0.25">
      <c r="C7" s="2994">
        <f>Бюд.р.!D133</f>
        <v>0</v>
      </c>
      <c r="D7" s="2994"/>
      <c r="E7" s="2994"/>
      <c r="F7" s="2994"/>
      <c r="G7" s="2994"/>
      <c r="H7" s="2994"/>
      <c r="I7" s="2994"/>
      <c r="J7" s="17"/>
      <c r="K7" s="17"/>
      <c r="L7" s="17"/>
      <c r="M7" s="17"/>
    </row>
    <row r="8" spans="3:13" ht="15.75" hidden="1" customHeight="1" x14ac:dyDescent="0.25">
      <c r="C8" s="2994">
        <f>Бюд.р.!D134</f>
        <v>0</v>
      </c>
      <c r="D8" s="2994"/>
      <c r="E8" s="2994"/>
      <c r="F8" s="2994"/>
      <c r="G8" s="2994"/>
      <c r="H8" s="2994"/>
      <c r="I8" s="2994"/>
      <c r="J8" s="17"/>
      <c r="K8" s="17"/>
      <c r="L8" s="17"/>
      <c r="M8" s="17"/>
    </row>
    <row r="9" spans="3:13" ht="15.75" hidden="1" customHeight="1" x14ac:dyDescent="0.25">
      <c r="C9" s="2994" t="str">
        <f>Бюд.р.!D135</f>
        <v>к бюджету от 23.10.2013</v>
      </c>
      <c r="D9" s="2994"/>
      <c r="E9" s="2994"/>
      <c r="F9" s="2994"/>
      <c r="G9" s="2994"/>
      <c r="H9" s="2994"/>
      <c r="I9" s="2994"/>
      <c r="J9" s="17"/>
      <c r="K9" s="17"/>
      <c r="L9" s="17"/>
      <c r="M9" s="17"/>
    </row>
    <row r="10" spans="3:13" ht="15.75" hidden="1" customHeight="1" x14ac:dyDescent="0.25">
      <c r="C10" s="2994" t="str">
        <f>Бюд.р.!D136</f>
        <v>к бюджету от 19.02.2014</v>
      </c>
      <c r="D10" s="2994"/>
      <c r="E10" s="2994"/>
      <c r="F10" s="2994"/>
      <c r="G10" s="2994"/>
      <c r="H10" s="2994"/>
      <c r="I10" s="2994"/>
      <c r="J10" s="17"/>
      <c r="K10" s="17"/>
      <c r="L10" s="17"/>
      <c r="M10" s="17"/>
    </row>
    <row r="11" spans="3:13" ht="15.75" hidden="1" customHeight="1" x14ac:dyDescent="0.25">
      <c r="C11" s="2994" t="str">
        <f>Бюд.р.!D137</f>
        <v>к бюджету от 23.04.2014</v>
      </c>
      <c r="D11" s="2994"/>
      <c r="E11" s="2994"/>
      <c r="F11" s="2994"/>
      <c r="G11" s="2994"/>
      <c r="H11" s="2994"/>
      <c r="I11" s="2994"/>
      <c r="J11" s="17"/>
      <c r="K11" s="17"/>
      <c r="L11" s="17"/>
      <c r="M11" s="17"/>
    </row>
    <row r="12" spans="3:13" ht="15.75" hidden="1" customHeight="1" x14ac:dyDescent="0.25">
      <c r="C12" s="2994" t="str">
        <f>Бюд.р.!D138</f>
        <v>к бюджету от 14.05.2014</v>
      </c>
      <c r="D12" s="2994"/>
      <c r="E12" s="2994"/>
      <c r="F12" s="2994"/>
      <c r="G12" s="2994"/>
      <c r="H12" s="2994"/>
      <c r="I12" s="2994"/>
      <c r="J12" s="17"/>
      <c r="K12" s="17"/>
      <c r="L12" s="17"/>
      <c r="M12" s="17"/>
    </row>
    <row r="13" spans="3:13" ht="15.75" hidden="1" customHeight="1" x14ac:dyDescent="0.25">
      <c r="C13" s="2994">
        <f>Бюд.р.!D139</f>
        <v>0</v>
      </c>
      <c r="D13" s="2994"/>
      <c r="E13" s="2994"/>
      <c r="F13" s="2994"/>
      <c r="G13" s="2994"/>
      <c r="H13" s="2994"/>
      <c r="I13" s="2994"/>
      <c r="J13" s="17"/>
      <c r="K13" s="17"/>
      <c r="L13" s="17"/>
      <c r="M13" s="17"/>
    </row>
    <row r="14" spans="3:13" ht="15.75" hidden="1" customHeight="1" x14ac:dyDescent="0.25">
      <c r="C14" s="2994">
        <f>Бюд.р.!D140</f>
        <v>0</v>
      </c>
      <c r="D14" s="2994"/>
      <c r="E14" s="2994"/>
      <c r="F14" s="2994"/>
      <c r="G14" s="2994"/>
      <c r="H14" s="2994"/>
      <c r="I14" s="2994"/>
      <c r="J14" s="17"/>
      <c r="K14" s="17"/>
      <c r="L14" s="17"/>
      <c r="M14" s="17"/>
    </row>
    <row r="15" spans="3:13" ht="15.75" hidden="1" customHeight="1" x14ac:dyDescent="0.25">
      <c r="C15" s="2994">
        <f>Бюд.р.!D141</f>
        <v>0</v>
      </c>
      <c r="D15" s="2994"/>
      <c r="E15" s="2994"/>
      <c r="F15" s="2994"/>
      <c r="G15" s="2994"/>
      <c r="H15" s="2994"/>
      <c r="I15" s="2994"/>
      <c r="J15" s="17"/>
      <c r="K15" s="17"/>
      <c r="L15" s="17"/>
      <c r="M15" s="17"/>
    </row>
    <row r="16" spans="3:13" ht="15.75" hidden="1" customHeight="1" x14ac:dyDescent="0.25">
      <c r="C16" s="2994">
        <f>Бюд.р.!D145</f>
        <v>0</v>
      </c>
      <c r="D16" s="2994"/>
      <c r="E16" s="2994"/>
      <c r="F16" s="2994"/>
      <c r="G16" s="2994"/>
      <c r="H16" s="2994"/>
      <c r="I16" s="2994"/>
      <c r="J16" s="17"/>
      <c r="K16" s="17"/>
      <c r="L16" s="17"/>
      <c r="M16" s="17"/>
    </row>
    <row r="17" spans="1:13" ht="15.75" hidden="1" customHeight="1" x14ac:dyDescent="0.25">
      <c r="C17" s="2994" t="str">
        <f>Бюд.р.!D146</f>
        <v>КОД ЦЕЛЕВОЙ СТАТЬИ</v>
      </c>
      <c r="D17" s="2994"/>
      <c r="E17" s="2994"/>
      <c r="F17" s="2994"/>
      <c r="G17" s="2994"/>
      <c r="H17" s="2994"/>
      <c r="I17" s="2994"/>
      <c r="J17" s="17"/>
      <c r="K17" s="17"/>
      <c r="L17" s="17"/>
      <c r="M17" s="17"/>
    </row>
    <row r="18" spans="1:13" ht="15.75" hidden="1" customHeight="1" x14ac:dyDescent="0.25">
      <c r="C18" s="2994">
        <f>Бюд.р.!D147</f>
        <v>4</v>
      </c>
      <c r="D18" s="2994"/>
      <c r="E18" s="2994"/>
      <c r="F18" s="2994"/>
      <c r="G18" s="2994"/>
      <c r="H18" s="2994"/>
      <c r="I18" s="2994"/>
      <c r="J18" s="17"/>
      <c r="K18" s="17"/>
      <c r="L18" s="17"/>
      <c r="M18" s="17"/>
    </row>
    <row r="19" spans="1:13" ht="15.75" hidden="1" x14ac:dyDescent="0.25">
      <c r="C19" s="2994" t="e">
        <f>Бюд.р.!#REF!</f>
        <v>#REF!</v>
      </c>
      <c r="D19" s="2994"/>
      <c r="E19" s="2994"/>
      <c r="F19" s="2994"/>
      <c r="G19" s="2994"/>
      <c r="H19" s="2994"/>
      <c r="I19" s="2994"/>
      <c r="J19" s="17"/>
      <c r="K19" s="17"/>
      <c r="L19" s="17"/>
      <c r="M19" s="17"/>
    </row>
    <row r="20" spans="1:13" ht="15.75" hidden="1" x14ac:dyDescent="0.25">
      <c r="C20" s="2994" t="str">
        <f>Бюд.р.!D119</f>
        <v>№ 02-03-05 от 24.02.2015</v>
      </c>
      <c r="D20" s="2994"/>
      <c r="E20" s="2994"/>
      <c r="F20" s="2994"/>
      <c r="G20" s="2994"/>
      <c r="H20" s="2994"/>
      <c r="I20" s="2994"/>
      <c r="J20" s="17"/>
      <c r="K20" s="17"/>
      <c r="L20" s="17"/>
      <c r="M20" s="17"/>
    </row>
    <row r="21" spans="1:13" ht="15.75" hidden="1" x14ac:dyDescent="0.25">
      <c r="C21" s="2994" t="str">
        <f>Бюд.р.!D120</f>
        <v>№ 02-03-06 от 10.03.2015</v>
      </c>
      <c r="D21" s="2994"/>
      <c r="E21" s="2994"/>
      <c r="F21" s="2994"/>
      <c r="G21" s="2994"/>
      <c r="H21" s="2994"/>
      <c r="I21" s="2994"/>
      <c r="J21" s="17"/>
      <c r="K21" s="17"/>
      <c r="L21" s="17"/>
      <c r="M21" s="17"/>
    </row>
    <row r="22" spans="1:13" ht="15.75" hidden="1" x14ac:dyDescent="0.25">
      <c r="C22" s="2994" t="str">
        <f>Бюд.р.!D121</f>
        <v>№ 02-03-07 от 25.03.2015</v>
      </c>
      <c r="D22" s="2994"/>
      <c r="E22" s="2994"/>
      <c r="F22" s="2994"/>
      <c r="G22" s="2994"/>
      <c r="H22" s="2994"/>
      <c r="I22" s="2994"/>
      <c r="J22" s="17"/>
      <c r="K22" s="17"/>
      <c r="L22" s="17"/>
      <c r="M22" s="17"/>
    </row>
    <row r="23" spans="1:13" ht="15.75" hidden="1" x14ac:dyDescent="0.25">
      <c r="C23" s="2994" t="str">
        <f>Бюд.р.!D122</f>
        <v>№ 02-03-08 от 21.04.2015</v>
      </c>
      <c r="D23" s="2994"/>
      <c r="E23" s="2994"/>
      <c r="F23" s="2994"/>
      <c r="G23" s="2994"/>
      <c r="H23" s="2994"/>
      <c r="I23" s="2994"/>
      <c r="J23" s="17"/>
      <c r="K23" s="17"/>
      <c r="L23" s="17"/>
      <c r="M23" s="17"/>
    </row>
    <row r="24" spans="1:13" ht="15.75" hidden="1" x14ac:dyDescent="0.25">
      <c r="C24" s="2994" t="str">
        <f>Бюд.р.!D123</f>
        <v>№ 02-03-09 от 29.04.2015</v>
      </c>
      <c r="D24" s="2994"/>
      <c r="E24" s="2994"/>
      <c r="F24" s="2994"/>
      <c r="G24" s="2994"/>
      <c r="H24" s="2994"/>
      <c r="I24" s="2994"/>
      <c r="J24" s="17"/>
      <c r="K24" s="17"/>
      <c r="L24" s="17"/>
      <c r="M24" s="17"/>
    </row>
    <row r="25" spans="1:13" ht="18.75" x14ac:dyDescent="0.3">
      <c r="B25" s="2995" t="s">
        <v>202</v>
      </c>
      <c r="C25" s="2995"/>
      <c r="D25" s="2995"/>
      <c r="E25" s="2995"/>
      <c r="F25" s="2995"/>
      <c r="G25" s="2995"/>
      <c r="H25" s="2995"/>
      <c r="I25" s="2995"/>
      <c r="J25" s="17"/>
      <c r="K25" s="17"/>
      <c r="L25" s="17"/>
      <c r="M25" s="17"/>
    </row>
    <row r="26" spans="1:13" ht="18.75" x14ac:dyDescent="0.3">
      <c r="A26" s="181"/>
      <c r="B26" s="3000" t="s">
        <v>1115</v>
      </c>
      <c r="C26" s="3000"/>
      <c r="D26" s="3000"/>
      <c r="E26" s="3000"/>
      <c r="F26" s="3000"/>
      <c r="G26" s="3000"/>
      <c r="H26" s="3000"/>
      <c r="I26" s="3000"/>
      <c r="J26" s="181"/>
      <c r="K26" s="181"/>
      <c r="L26" s="181"/>
      <c r="M26" s="181"/>
    </row>
    <row r="27" spans="1:13" ht="19.5" thickBot="1" x14ac:dyDescent="0.35">
      <c r="A27" s="181"/>
      <c r="B27" s="181"/>
      <c r="C27" s="2999" t="s">
        <v>272</v>
      </c>
      <c r="D27" s="2999"/>
      <c r="E27" s="2999"/>
      <c r="F27" s="2999"/>
      <c r="G27" s="2999"/>
      <c r="H27" s="2999"/>
      <c r="I27" s="2999"/>
      <c r="J27" s="412"/>
      <c r="K27" s="412"/>
      <c r="L27" s="412"/>
      <c r="M27" s="412"/>
    </row>
    <row r="28" spans="1:13" ht="39.75" thickBot="1" x14ac:dyDescent="0.25">
      <c r="A28" s="62" t="s">
        <v>119</v>
      </c>
      <c r="B28" s="45" t="s">
        <v>955</v>
      </c>
      <c r="C28" s="26" t="s">
        <v>273</v>
      </c>
      <c r="D28" s="46" t="s">
        <v>498</v>
      </c>
      <c r="E28" s="228" t="s">
        <v>286</v>
      </c>
      <c r="F28" s="228" t="s">
        <v>284</v>
      </c>
      <c r="G28" s="228" t="s">
        <v>121</v>
      </c>
      <c r="H28" s="31" t="s">
        <v>285</v>
      </c>
      <c r="I28" s="340" t="s">
        <v>322</v>
      </c>
      <c r="J28" s="343" t="s">
        <v>930</v>
      </c>
      <c r="K28" s="344" t="s">
        <v>931</v>
      </c>
      <c r="L28" s="344" t="s">
        <v>913</v>
      </c>
      <c r="M28" s="378" t="s">
        <v>914</v>
      </c>
    </row>
    <row r="29" spans="1:13" x14ac:dyDescent="0.2">
      <c r="A29" s="148">
        <v>1</v>
      </c>
      <c r="B29" s="411" t="s">
        <v>811</v>
      </c>
      <c r="C29" s="896">
        <v>2</v>
      </c>
      <c r="D29" s="873" t="s">
        <v>526</v>
      </c>
      <c r="E29" s="874" t="s">
        <v>745</v>
      </c>
      <c r="F29" s="874" t="s">
        <v>349</v>
      </c>
      <c r="G29" s="875" t="s">
        <v>350</v>
      </c>
      <c r="H29" s="1245" t="s">
        <v>350</v>
      </c>
      <c r="I29" s="414">
        <v>7</v>
      </c>
      <c r="J29" s="415">
        <v>8</v>
      </c>
      <c r="K29" s="416">
        <v>9</v>
      </c>
      <c r="L29" s="416">
        <v>10</v>
      </c>
      <c r="M29" s="417">
        <v>11</v>
      </c>
    </row>
    <row r="30" spans="1:13" ht="16.5" hidden="1" thickBot="1" x14ac:dyDescent="0.3">
      <c r="A30" s="191" t="s">
        <v>738</v>
      </c>
      <c r="B30" s="393"/>
      <c r="C30" s="897" t="s">
        <v>122</v>
      </c>
      <c r="D30" s="876"/>
      <c r="E30" s="221" t="s">
        <v>503</v>
      </c>
      <c r="F30" s="222"/>
      <c r="G30" s="877"/>
      <c r="H30" s="1246"/>
      <c r="I30" s="367"/>
      <c r="J30" s="355"/>
      <c r="K30" s="223"/>
      <c r="L30" s="223"/>
      <c r="M30" s="379"/>
    </row>
    <row r="31" spans="1:13" ht="40.5" hidden="1" customHeight="1" thickBot="1" x14ac:dyDescent="0.25">
      <c r="A31" s="192" t="s">
        <v>123</v>
      </c>
      <c r="B31" s="12"/>
      <c r="C31" s="898" t="s">
        <v>855</v>
      </c>
      <c r="D31" s="878"/>
      <c r="E31" s="10" t="s">
        <v>331</v>
      </c>
      <c r="F31" s="10"/>
      <c r="G31" s="879"/>
      <c r="H31" s="1247"/>
      <c r="I31" s="368"/>
      <c r="J31" s="356"/>
      <c r="K31" s="345"/>
      <c r="L31" s="345"/>
      <c r="M31" s="380"/>
    </row>
    <row r="32" spans="1:13" ht="31.5" customHeight="1" thickBot="1" x14ac:dyDescent="0.25">
      <c r="A32" s="192"/>
      <c r="B32" s="1160"/>
      <c r="C32" s="1152" t="s">
        <v>594</v>
      </c>
      <c r="D32" s="1153" t="s">
        <v>103</v>
      </c>
      <c r="E32" s="1161"/>
      <c r="F32" s="1161"/>
      <c r="G32" s="1162"/>
      <c r="H32" s="1248"/>
      <c r="I32" s="1163">
        <f>I33</f>
        <v>5066.75</v>
      </c>
      <c r="J32" s="357" t="e">
        <f>J33+J122+J159+J203+J207+J226+#REF!+J237</f>
        <v>#REF!</v>
      </c>
      <c r="K32" s="348" t="e">
        <f>K33+K122+K159+K203+K207+K226+#REF!+K237</f>
        <v>#REF!</v>
      </c>
      <c r="L32" s="348" t="e">
        <f>L33+L122+L159+L203+L207+L226+#REF!+L237</f>
        <v>#REF!</v>
      </c>
      <c r="M32" s="381" t="e">
        <f>M33+M122+M159+M203+M207+M226+#REF!+M237</f>
        <v>#REF!</v>
      </c>
    </row>
    <row r="33" spans="1:13" ht="14.25" customHeight="1" thickBot="1" x14ac:dyDescent="0.25">
      <c r="A33" s="192"/>
      <c r="B33" s="978" t="s">
        <v>738</v>
      </c>
      <c r="C33" s="1035" t="s">
        <v>122</v>
      </c>
      <c r="D33" s="979" t="s">
        <v>103</v>
      </c>
      <c r="E33" s="980" t="s">
        <v>511</v>
      </c>
      <c r="F33" s="980"/>
      <c r="G33" s="981"/>
      <c r="H33" s="1249"/>
      <c r="I33" s="982">
        <f>SUM(I34,I42)</f>
        <v>5066.75</v>
      </c>
      <c r="J33" s="365" t="e">
        <f>J34+J42+J67+J100</f>
        <v>#REF!</v>
      </c>
      <c r="K33" s="349" t="e">
        <f>K34+K42+K67+K100</f>
        <v>#REF!</v>
      </c>
      <c r="L33" s="349" t="e">
        <f>L34+L42+L67+L100</f>
        <v>#REF!</v>
      </c>
      <c r="M33" s="388" t="e">
        <f>M34+M42+M67+M100</f>
        <v>#REF!</v>
      </c>
    </row>
    <row r="34" spans="1:13" ht="46.5" customHeight="1" x14ac:dyDescent="0.2">
      <c r="A34" s="192"/>
      <c r="B34" s="1083" t="s">
        <v>811</v>
      </c>
      <c r="C34" s="1030" t="s">
        <v>152</v>
      </c>
      <c r="D34" s="1031" t="s">
        <v>103</v>
      </c>
      <c r="E34" s="1032" t="s">
        <v>510</v>
      </c>
      <c r="F34" s="1032"/>
      <c r="G34" s="1033"/>
      <c r="H34" s="1250"/>
      <c r="I34" s="1034">
        <f t="shared" ref="I34:M35" si="0">I35</f>
        <v>1117.634</v>
      </c>
      <c r="J34" s="358">
        <f t="shared" si="0"/>
        <v>164.7</v>
      </c>
      <c r="K34" s="152">
        <f t="shared" si="0"/>
        <v>164.8</v>
      </c>
      <c r="L34" s="152">
        <f t="shared" si="0"/>
        <v>164.7</v>
      </c>
      <c r="M34" s="382">
        <f t="shared" si="0"/>
        <v>164.7</v>
      </c>
    </row>
    <row r="35" spans="1:13" ht="17.25" customHeight="1" x14ac:dyDescent="0.2">
      <c r="A35" s="193" t="s">
        <v>299</v>
      </c>
      <c r="B35" s="25" t="s">
        <v>299</v>
      </c>
      <c r="C35" s="899" t="s">
        <v>513</v>
      </c>
      <c r="D35" s="781" t="s">
        <v>103</v>
      </c>
      <c r="E35" s="11" t="s">
        <v>510</v>
      </c>
      <c r="F35" s="11" t="s">
        <v>514</v>
      </c>
      <c r="G35" s="782"/>
      <c r="H35" s="841"/>
      <c r="I35" s="369">
        <f t="shared" si="0"/>
        <v>1117.634</v>
      </c>
      <c r="J35" s="359">
        <f t="shared" si="0"/>
        <v>164.7</v>
      </c>
      <c r="K35" s="186">
        <f t="shared" si="0"/>
        <v>164.8</v>
      </c>
      <c r="L35" s="186">
        <f t="shared" si="0"/>
        <v>164.7</v>
      </c>
      <c r="M35" s="383">
        <f t="shared" si="0"/>
        <v>164.7</v>
      </c>
    </row>
    <row r="36" spans="1:13" ht="22.5" x14ac:dyDescent="0.2">
      <c r="A36" s="194" t="s">
        <v>212</v>
      </c>
      <c r="B36" s="7" t="s">
        <v>212</v>
      </c>
      <c r="C36" s="1069" t="s">
        <v>1116</v>
      </c>
      <c r="D36" s="783" t="s">
        <v>103</v>
      </c>
      <c r="E36" s="182" t="s">
        <v>510</v>
      </c>
      <c r="F36" s="182" t="s">
        <v>514</v>
      </c>
      <c r="G36" s="784" t="s">
        <v>1122</v>
      </c>
      <c r="H36" s="842"/>
      <c r="I36" s="370">
        <f>Бюд.р.!H60</f>
        <v>1117.634</v>
      </c>
      <c r="J36" s="360">
        <v>164.7</v>
      </c>
      <c r="K36" s="189">
        <v>164.8</v>
      </c>
      <c r="L36" s="189">
        <v>164.7</v>
      </c>
      <c r="M36" s="384">
        <v>164.7</v>
      </c>
    </row>
    <row r="37" spans="1:13" ht="24" hidden="1" x14ac:dyDescent="0.2">
      <c r="A37" s="195" t="s">
        <v>213</v>
      </c>
      <c r="B37" s="13"/>
      <c r="C37" s="899" t="s">
        <v>294</v>
      </c>
      <c r="D37" s="781"/>
      <c r="E37" s="32" t="s">
        <v>331</v>
      </c>
      <c r="F37" s="32" t="s">
        <v>124</v>
      </c>
      <c r="G37" s="785" t="s">
        <v>856</v>
      </c>
      <c r="H37" s="843" t="s">
        <v>295</v>
      </c>
      <c r="I37" s="341"/>
      <c r="J37" s="361"/>
      <c r="K37" s="237"/>
      <c r="L37" s="237"/>
      <c r="M37" s="350"/>
    </row>
    <row r="38" spans="1:13" hidden="1" x14ac:dyDescent="0.2">
      <c r="A38" s="196" t="s">
        <v>214</v>
      </c>
      <c r="B38" s="7"/>
      <c r="C38" s="901" t="s">
        <v>310</v>
      </c>
      <c r="D38" s="786"/>
      <c r="E38" s="8" t="s">
        <v>331</v>
      </c>
      <c r="F38" s="8" t="s">
        <v>124</v>
      </c>
      <c r="G38" s="787" t="s">
        <v>856</v>
      </c>
      <c r="H38" s="844" t="s">
        <v>298</v>
      </c>
      <c r="I38" s="341"/>
      <c r="J38" s="361"/>
      <c r="K38" s="237"/>
      <c r="L38" s="237"/>
      <c r="M38" s="350"/>
    </row>
    <row r="39" spans="1:13" hidden="1" x14ac:dyDescent="0.2">
      <c r="A39" s="196" t="s">
        <v>215</v>
      </c>
      <c r="B39" s="7"/>
      <c r="C39" s="902" t="s">
        <v>125</v>
      </c>
      <c r="D39" s="788"/>
      <c r="E39" s="6" t="s">
        <v>331</v>
      </c>
      <c r="F39" s="6" t="s">
        <v>124</v>
      </c>
      <c r="G39" s="789" t="s">
        <v>856</v>
      </c>
      <c r="H39" s="845" t="s">
        <v>305</v>
      </c>
      <c r="I39" s="341"/>
      <c r="J39" s="361"/>
      <c r="K39" s="237"/>
      <c r="L39" s="237"/>
      <c r="M39" s="350"/>
    </row>
    <row r="40" spans="1:13" hidden="1" x14ac:dyDescent="0.2">
      <c r="A40" s="196" t="s">
        <v>216</v>
      </c>
      <c r="B40" s="7"/>
      <c r="C40" s="902" t="s">
        <v>126</v>
      </c>
      <c r="D40" s="788"/>
      <c r="E40" s="6" t="s">
        <v>331</v>
      </c>
      <c r="F40" s="6" t="s">
        <v>124</v>
      </c>
      <c r="G40" s="789" t="s">
        <v>856</v>
      </c>
      <c r="H40" s="845" t="s">
        <v>306</v>
      </c>
      <c r="I40" s="341"/>
      <c r="J40" s="361"/>
      <c r="K40" s="237"/>
      <c r="L40" s="237"/>
      <c r="M40" s="350"/>
    </row>
    <row r="41" spans="1:13" ht="38.25" hidden="1" x14ac:dyDescent="0.2">
      <c r="A41" s="192" t="s">
        <v>127</v>
      </c>
      <c r="B41" s="394"/>
      <c r="C41" s="903" t="s">
        <v>807</v>
      </c>
      <c r="D41" s="790"/>
      <c r="E41" s="185" t="s">
        <v>308</v>
      </c>
      <c r="F41" s="185"/>
      <c r="G41" s="791"/>
      <c r="H41" s="846"/>
      <c r="I41" s="341"/>
      <c r="J41" s="361"/>
      <c r="K41" s="237"/>
      <c r="L41" s="237"/>
      <c r="M41" s="350"/>
    </row>
    <row r="42" spans="1:13" ht="60" customHeight="1" x14ac:dyDescent="0.25">
      <c r="A42" s="192"/>
      <c r="B42" s="413" t="s">
        <v>924</v>
      </c>
      <c r="C42" s="904" t="s">
        <v>1050</v>
      </c>
      <c r="D42" s="878" t="s">
        <v>103</v>
      </c>
      <c r="E42" s="10" t="s">
        <v>528</v>
      </c>
      <c r="F42" s="10"/>
      <c r="G42" s="879"/>
      <c r="H42" s="1247"/>
      <c r="I42" s="352">
        <f>I43+I48</f>
        <v>3949.1160000000004</v>
      </c>
      <c r="J42" s="358" t="e">
        <f>J43+#REF!</f>
        <v>#REF!</v>
      </c>
      <c r="K42" s="152" t="e">
        <f>K43+#REF!</f>
        <v>#REF!</v>
      </c>
      <c r="L42" s="152" t="e">
        <f>L43+#REF!</f>
        <v>#REF!</v>
      </c>
      <c r="M42" s="382" t="e">
        <f>M43+#REF!</f>
        <v>#REF!</v>
      </c>
    </row>
    <row r="43" spans="1:13" ht="24.75" customHeight="1" x14ac:dyDescent="0.2">
      <c r="A43" s="193" t="s">
        <v>334</v>
      </c>
      <c r="B43" s="394" t="s">
        <v>334</v>
      </c>
      <c r="C43" s="899" t="s">
        <v>532</v>
      </c>
      <c r="D43" s="781" t="s">
        <v>103</v>
      </c>
      <c r="E43" s="11" t="s">
        <v>528</v>
      </c>
      <c r="F43" s="11" t="s">
        <v>63</v>
      </c>
      <c r="G43" s="782"/>
      <c r="H43" s="841"/>
      <c r="I43" s="371">
        <f>I44+I46</f>
        <v>1225.6399999999999</v>
      </c>
      <c r="J43" s="359">
        <f>J45</f>
        <v>151.5</v>
      </c>
      <c r="K43" s="186">
        <f>K45</f>
        <v>151.6</v>
      </c>
      <c r="L43" s="186">
        <f>L45</f>
        <v>151.5</v>
      </c>
      <c r="M43" s="383">
        <f>M45</f>
        <v>151.5</v>
      </c>
    </row>
    <row r="44" spans="1:13" ht="24.75" customHeight="1" x14ac:dyDescent="0.2">
      <c r="A44" s="193"/>
      <c r="B44" s="25" t="s">
        <v>217</v>
      </c>
      <c r="C44" s="899" t="s">
        <v>64</v>
      </c>
      <c r="D44" s="781" t="s">
        <v>103</v>
      </c>
      <c r="E44" s="11" t="s">
        <v>528</v>
      </c>
      <c r="F44" s="11" t="s">
        <v>65</v>
      </c>
      <c r="G44" s="782"/>
      <c r="H44" s="841"/>
      <c r="I44" s="371">
        <f>I45</f>
        <v>961.04</v>
      </c>
      <c r="J44" s="359"/>
      <c r="K44" s="186"/>
      <c r="L44" s="186"/>
      <c r="M44" s="383"/>
    </row>
    <row r="45" spans="1:13" ht="22.5" customHeight="1" x14ac:dyDescent="0.2">
      <c r="A45" s="193"/>
      <c r="B45" s="7" t="s">
        <v>218</v>
      </c>
      <c r="C45" s="1069" t="s">
        <v>1116</v>
      </c>
      <c r="D45" s="783" t="s">
        <v>103</v>
      </c>
      <c r="E45" s="182" t="s">
        <v>528</v>
      </c>
      <c r="F45" s="182" t="s">
        <v>65</v>
      </c>
      <c r="G45" s="784" t="s">
        <v>1122</v>
      </c>
      <c r="H45" s="841"/>
      <c r="I45" s="370">
        <f>'ВЕД.СТ Пр.2.'!I45</f>
        <v>961.04</v>
      </c>
      <c r="J45" s="360">
        <v>151.5</v>
      </c>
      <c r="K45" s="189">
        <v>151.6</v>
      </c>
      <c r="L45" s="189">
        <v>151.5</v>
      </c>
      <c r="M45" s="384">
        <v>151.5</v>
      </c>
    </row>
    <row r="46" spans="1:13" ht="27" customHeight="1" x14ac:dyDescent="0.2">
      <c r="A46" s="193"/>
      <c r="B46" s="25" t="s">
        <v>578</v>
      </c>
      <c r="C46" s="1292" t="s">
        <v>1133</v>
      </c>
      <c r="D46" s="781" t="s">
        <v>103</v>
      </c>
      <c r="E46" s="11" t="s">
        <v>528</v>
      </c>
      <c r="F46" s="11" t="s">
        <v>67</v>
      </c>
      <c r="G46" s="792"/>
      <c r="H46" s="841"/>
      <c r="I46" s="371">
        <f>I47</f>
        <v>264.60000000000002</v>
      </c>
      <c r="J46" s="359">
        <f>J47</f>
        <v>138.4</v>
      </c>
      <c r="K46" s="186">
        <f>K47</f>
        <v>138.30000000000001</v>
      </c>
      <c r="L46" s="186">
        <f>L47</f>
        <v>138.4</v>
      </c>
      <c r="M46" s="383">
        <f>M47</f>
        <v>138.30000000000001</v>
      </c>
    </row>
    <row r="47" spans="1:13" ht="12.75" customHeight="1" x14ac:dyDescent="0.2">
      <c r="A47" s="193"/>
      <c r="B47" s="7" t="s">
        <v>219</v>
      </c>
      <c r="C47" s="828" t="s">
        <v>1118</v>
      </c>
      <c r="D47" s="783" t="s">
        <v>103</v>
      </c>
      <c r="E47" s="182" t="s">
        <v>528</v>
      </c>
      <c r="F47" s="182" t="s">
        <v>67</v>
      </c>
      <c r="G47" s="784" t="s">
        <v>920</v>
      </c>
      <c r="H47" s="841"/>
      <c r="I47" s="370">
        <f>'ВЕД.СТ Пр.2.'!I52</f>
        <v>264.60000000000002</v>
      </c>
      <c r="J47" s="360">
        <v>138.4</v>
      </c>
      <c r="K47" s="189">
        <v>138.30000000000001</v>
      </c>
      <c r="L47" s="189">
        <v>138.4</v>
      </c>
      <c r="M47" s="384">
        <v>138.30000000000001</v>
      </c>
    </row>
    <row r="48" spans="1:13" ht="24.75" customHeight="1" x14ac:dyDescent="0.2">
      <c r="A48" s="194" t="s">
        <v>108</v>
      </c>
      <c r="B48" s="394" t="s">
        <v>227</v>
      </c>
      <c r="C48" s="905" t="s">
        <v>62</v>
      </c>
      <c r="D48" s="781" t="s">
        <v>103</v>
      </c>
      <c r="E48" s="11" t="s">
        <v>528</v>
      </c>
      <c r="F48" s="11" t="s">
        <v>529</v>
      </c>
      <c r="G48" s="782"/>
      <c r="H48" s="841"/>
      <c r="I48" s="371">
        <f>SUM(I54:I56)</f>
        <v>2723.4760000000006</v>
      </c>
      <c r="J48" s="359">
        <f>J54</f>
        <v>36.799999999999997</v>
      </c>
      <c r="K48" s="186">
        <f>K54</f>
        <v>36.700000000000003</v>
      </c>
      <c r="L48" s="186">
        <f>L54</f>
        <v>36.700000000000003</v>
      </c>
      <c r="M48" s="383">
        <f>M54</f>
        <v>36.700000000000003</v>
      </c>
    </row>
    <row r="49" spans="1:13" hidden="1" x14ac:dyDescent="0.2">
      <c r="A49" s="195" t="s">
        <v>218</v>
      </c>
      <c r="B49" s="395"/>
      <c r="C49" s="899" t="s">
        <v>294</v>
      </c>
      <c r="D49" s="793"/>
      <c r="E49" s="8" t="s">
        <v>308</v>
      </c>
      <c r="F49" s="8" t="s">
        <v>124</v>
      </c>
      <c r="G49" s="787" t="s">
        <v>292</v>
      </c>
      <c r="H49" s="844" t="s">
        <v>295</v>
      </c>
      <c r="I49" s="341"/>
      <c r="J49" s="360"/>
      <c r="K49" s="189"/>
      <c r="L49" s="189"/>
      <c r="M49" s="384"/>
    </row>
    <row r="50" spans="1:13" hidden="1" x14ac:dyDescent="0.2">
      <c r="A50" s="196" t="s">
        <v>220</v>
      </c>
      <c r="B50" s="7"/>
      <c r="C50" s="901" t="s">
        <v>310</v>
      </c>
      <c r="D50" s="786"/>
      <c r="E50" s="8" t="s">
        <v>308</v>
      </c>
      <c r="F50" s="8" t="s">
        <v>124</v>
      </c>
      <c r="G50" s="787" t="s">
        <v>292</v>
      </c>
      <c r="H50" s="844" t="s">
        <v>298</v>
      </c>
      <c r="I50" s="341"/>
      <c r="J50" s="360"/>
      <c r="K50" s="189"/>
      <c r="L50" s="189"/>
      <c r="M50" s="384"/>
    </row>
    <row r="51" spans="1:13" hidden="1" x14ac:dyDescent="0.2">
      <c r="A51" s="196" t="s">
        <v>215</v>
      </c>
      <c r="B51" s="7"/>
      <c r="C51" s="902" t="s">
        <v>125</v>
      </c>
      <c r="D51" s="788"/>
      <c r="E51" s="6" t="s">
        <v>308</v>
      </c>
      <c r="F51" s="6" t="s">
        <v>124</v>
      </c>
      <c r="G51" s="789" t="s">
        <v>292</v>
      </c>
      <c r="H51" s="845" t="s">
        <v>305</v>
      </c>
      <c r="I51" s="341"/>
      <c r="J51" s="360"/>
      <c r="K51" s="189"/>
      <c r="L51" s="189"/>
      <c r="M51" s="384"/>
    </row>
    <row r="52" spans="1:13" hidden="1" x14ac:dyDescent="0.2">
      <c r="A52" s="196" t="s">
        <v>216</v>
      </c>
      <c r="B52" s="7"/>
      <c r="C52" s="902" t="s">
        <v>128</v>
      </c>
      <c r="D52" s="788"/>
      <c r="E52" s="6" t="s">
        <v>308</v>
      </c>
      <c r="F52" s="6" t="s">
        <v>288</v>
      </c>
      <c r="G52" s="789" t="s">
        <v>292</v>
      </c>
      <c r="H52" s="845" t="s">
        <v>504</v>
      </c>
      <c r="I52" s="341"/>
      <c r="J52" s="360"/>
      <c r="K52" s="189"/>
      <c r="L52" s="189"/>
      <c r="M52" s="384"/>
    </row>
    <row r="53" spans="1:13" hidden="1" x14ac:dyDescent="0.2">
      <c r="A53" s="196" t="s">
        <v>221</v>
      </c>
      <c r="B53" s="7"/>
      <c r="C53" s="902" t="s">
        <v>126</v>
      </c>
      <c r="D53" s="788"/>
      <c r="E53" s="6" t="s">
        <v>308</v>
      </c>
      <c r="F53" s="6" t="s">
        <v>124</v>
      </c>
      <c r="G53" s="789" t="s">
        <v>292</v>
      </c>
      <c r="H53" s="845" t="s">
        <v>306</v>
      </c>
      <c r="I53" s="341"/>
      <c r="J53" s="360"/>
      <c r="K53" s="189"/>
      <c r="L53" s="189"/>
      <c r="M53" s="384"/>
    </row>
    <row r="54" spans="1:13" ht="21.75" customHeight="1" x14ac:dyDescent="0.2">
      <c r="A54" s="194" t="s">
        <v>335</v>
      </c>
      <c r="B54" s="7" t="s">
        <v>155</v>
      </c>
      <c r="C54" s="1069" t="s">
        <v>1116</v>
      </c>
      <c r="D54" s="783" t="s">
        <v>103</v>
      </c>
      <c r="E54" s="182" t="s">
        <v>528</v>
      </c>
      <c r="F54" s="182" t="s">
        <v>529</v>
      </c>
      <c r="G54" s="784" t="s">
        <v>1122</v>
      </c>
      <c r="H54" s="845"/>
      <c r="I54" s="370">
        <f>Бюд.р.!H84</f>
        <v>817.67800000000011</v>
      </c>
      <c r="J54" s="360">
        <v>36.799999999999997</v>
      </c>
      <c r="K54" s="189">
        <v>36.700000000000003</v>
      </c>
      <c r="L54" s="189">
        <v>36.700000000000003</v>
      </c>
      <c r="M54" s="384">
        <v>36.700000000000003</v>
      </c>
    </row>
    <row r="55" spans="1:13" ht="15" customHeight="1" x14ac:dyDescent="0.2">
      <c r="A55" s="194"/>
      <c r="B55" s="7" t="s">
        <v>1124</v>
      </c>
      <c r="C55" s="828" t="s">
        <v>1118</v>
      </c>
      <c r="D55" s="783" t="s">
        <v>103</v>
      </c>
      <c r="E55" s="182" t="s">
        <v>528</v>
      </c>
      <c r="F55" s="182" t="s">
        <v>529</v>
      </c>
      <c r="G55" s="1058" t="s">
        <v>495</v>
      </c>
      <c r="H55" s="1291"/>
      <c r="I55" s="541">
        <f>Бюд.р.!H90</f>
        <v>1214.6490000000001</v>
      </c>
      <c r="J55" s="360"/>
      <c r="K55" s="189"/>
      <c r="L55" s="189"/>
      <c r="M55" s="384"/>
    </row>
    <row r="56" spans="1:13" ht="14.25" customHeight="1" thickBot="1" x14ac:dyDescent="0.25">
      <c r="A56" s="194"/>
      <c r="B56" s="7" t="s">
        <v>1125</v>
      </c>
      <c r="C56" s="828" t="s">
        <v>1117</v>
      </c>
      <c r="D56" s="783" t="s">
        <v>103</v>
      </c>
      <c r="E56" s="182" t="s">
        <v>528</v>
      </c>
      <c r="F56" s="182" t="s">
        <v>529</v>
      </c>
      <c r="G56" s="1058" t="s">
        <v>1129</v>
      </c>
      <c r="H56" s="1291"/>
      <c r="I56" s="541">
        <f>Бюд.р.!H96</f>
        <v>691.14900000000011</v>
      </c>
      <c r="J56" s="360"/>
      <c r="K56" s="189"/>
      <c r="L56" s="189"/>
      <c r="M56" s="384"/>
    </row>
    <row r="57" spans="1:13" ht="14.25" customHeight="1" thickBot="1" x14ac:dyDescent="0.25">
      <c r="A57" s="194"/>
      <c r="B57" s="1027"/>
      <c r="C57" s="747" t="s">
        <v>290</v>
      </c>
      <c r="D57" s="748">
        <v>925</v>
      </c>
      <c r="E57" s="748">
        <v>700</v>
      </c>
      <c r="F57" s="748"/>
      <c r="G57" s="748"/>
      <c r="H57" s="749"/>
      <c r="I57" s="541"/>
      <c r="J57" s="360"/>
      <c r="K57" s="189"/>
      <c r="L57" s="189"/>
      <c r="M57" s="384"/>
    </row>
    <row r="58" spans="1:13" ht="14.25" customHeight="1" x14ac:dyDescent="0.2">
      <c r="A58" s="194"/>
      <c r="B58" s="1027"/>
      <c r="C58" s="752" t="s">
        <v>1191</v>
      </c>
      <c r="D58" s="744">
        <v>925</v>
      </c>
      <c r="E58" s="744">
        <v>705</v>
      </c>
      <c r="F58" s="744"/>
      <c r="G58" s="744"/>
      <c r="H58" s="745"/>
      <c r="I58" s="541"/>
      <c r="J58" s="360"/>
      <c r="K58" s="189"/>
      <c r="L58" s="189"/>
      <c r="M58" s="384"/>
    </row>
    <row r="59" spans="1:13" ht="14.25" customHeight="1" x14ac:dyDescent="0.2">
      <c r="A59" s="194"/>
      <c r="B59" s="1027"/>
      <c r="C59" s="487" t="s">
        <v>1224</v>
      </c>
      <c r="D59" s="166">
        <v>925</v>
      </c>
      <c r="E59" s="166">
        <v>705</v>
      </c>
      <c r="F59" s="166" t="s">
        <v>1198</v>
      </c>
      <c r="G59" s="166"/>
      <c r="H59" s="482"/>
      <c r="I59" s="541"/>
      <c r="J59" s="360"/>
      <c r="K59" s="189"/>
      <c r="L59" s="189"/>
      <c r="M59" s="384"/>
    </row>
    <row r="60" spans="1:13" ht="14.25" customHeight="1" x14ac:dyDescent="0.2">
      <c r="A60" s="194"/>
      <c r="B60" s="1027"/>
      <c r="C60" s="487" t="s">
        <v>1199</v>
      </c>
      <c r="D60" s="166">
        <v>925</v>
      </c>
      <c r="E60" s="166">
        <v>705</v>
      </c>
      <c r="F60" s="166" t="s">
        <v>1225</v>
      </c>
      <c r="G60" s="166"/>
      <c r="H60" s="482"/>
      <c r="I60" s="541"/>
      <c r="J60" s="360"/>
      <c r="K60" s="189"/>
      <c r="L60" s="189"/>
      <c r="M60" s="384"/>
    </row>
    <row r="61" spans="1:13" ht="14.25" customHeight="1" x14ac:dyDescent="0.2">
      <c r="A61" s="194"/>
      <c r="B61" s="1027"/>
      <c r="C61" s="487" t="s">
        <v>1202</v>
      </c>
      <c r="D61" s="166">
        <v>968</v>
      </c>
      <c r="E61" s="166">
        <v>705</v>
      </c>
      <c r="F61" s="166" t="s">
        <v>1200</v>
      </c>
      <c r="G61" s="166"/>
      <c r="H61" s="482"/>
      <c r="I61" s="541"/>
      <c r="J61" s="360"/>
      <c r="K61" s="189"/>
      <c r="L61" s="189"/>
      <c r="M61" s="384"/>
    </row>
    <row r="62" spans="1:13" ht="14.25" customHeight="1" x14ac:dyDescent="0.2">
      <c r="A62" s="194"/>
      <c r="B62" s="1027"/>
      <c r="C62" s="1278" t="s">
        <v>1201</v>
      </c>
      <c r="D62" s="1285">
        <v>968</v>
      </c>
      <c r="E62" s="1285">
        <v>705</v>
      </c>
      <c r="F62" s="1285" t="s">
        <v>1200</v>
      </c>
      <c r="G62" s="1285">
        <v>244</v>
      </c>
      <c r="H62" s="1279">
        <v>244</v>
      </c>
      <c r="I62" s="541"/>
      <c r="J62" s="360"/>
      <c r="K62" s="189"/>
      <c r="L62" s="189"/>
      <c r="M62" s="384"/>
    </row>
    <row r="63" spans="1:13" ht="14.25" customHeight="1" x14ac:dyDescent="0.2">
      <c r="A63" s="194"/>
      <c r="B63" s="1027"/>
      <c r="C63" s="1773"/>
      <c r="D63" s="819"/>
      <c r="E63" s="1057"/>
      <c r="F63" s="1057"/>
      <c r="G63" s="1058"/>
      <c r="H63" s="1291"/>
      <c r="I63" s="541"/>
      <c r="J63" s="360"/>
      <c r="K63" s="189"/>
      <c r="L63" s="189"/>
      <c r="M63" s="384"/>
    </row>
    <row r="64" spans="1:13" ht="14.25" customHeight="1" x14ac:dyDescent="0.2">
      <c r="A64" s="194"/>
      <c r="B64" s="1027"/>
      <c r="C64" s="1773"/>
      <c r="D64" s="819"/>
      <c r="E64" s="1057"/>
      <c r="F64" s="1057"/>
      <c r="G64" s="1058"/>
      <c r="H64" s="1291"/>
      <c r="I64" s="541"/>
      <c r="J64" s="360"/>
      <c r="K64" s="189"/>
      <c r="L64" s="189"/>
      <c r="M64" s="384"/>
    </row>
    <row r="65" spans="1:13" ht="30" customHeight="1" thickBot="1" x14ac:dyDescent="0.25">
      <c r="A65" s="200" t="s">
        <v>282</v>
      </c>
      <c r="B65" s="1151"/>
      <c r="C65" s="1152" t="s">
        <v>593</v>
      </c>
      <c r="D65" s="1153" t="s">
        <v>696</v>
      </c>
      <c r="E65" s="1154"/>
      <c r="F65" s="1154"/>
      <c r="G65" s="1155"/>
      <c r="H65" s="1251"/>
      <c r="I65" s="1156" t="e">
        <f>I66+I122+I152+I159+I203+I207+I226+I237+I256+I260</f>
        <v>#REF!</v>
      </c>
      <c r="J65" s="361"/>
      <c r="K65" s="237"/>
      <c r="L65" s="237"/>
      <c r="M65" s="350"/>
    </row>
    <row r="66" spans="1:13" ht="30" customHeight="1" thickBot="1" x14ac:dyDescent="0.25">
      <c r="A66" s="200"/>
      <c r="B66" s="1119" t="s">
        <v>738</v>
      </c>
      <c r="C66" s="1120" t="s">
        <v>122</v>
      </c>
      <c r="D66" s="1121" t="s">
        <v>696</v>
      </c>
      <c r="E66" s="1122" t="s">
        <v>511</v>
      </c>
      <c r="F66" s="1122"/>
      <c r="G66" s="1123"/>
      <c r="H66" s="1252"/>
      <c r="I66" s="1125" t="e">
        <f>SUM(I67,I97,I100)</f>
        <v>#REF!</v>
      </c>
      <c r="J66" s="361"/>
      <c r="K66" s="237"/>
      <c r="L66" s="237"/>
      <c r="M66" s="350"/>
    </row>
    <row r="67" spans="1:13" ht="73.5" customHeight="1" x14ac:dyDescent="0.25">
      <c r="A67" s="200"/>
      <c r="B67" s="1083" t="s">
        <v>526</v>
      </c>
      <c r="C67" s="1157" t="s">
        <v>1056</v>
      </c>
      <c r="D67" s="1031" t="s">
        <v>696</v>
      </c>
      <c r="E67" s="1158" t="s">
        <v>530</v>
      </c>
      <c r="F67" s="1158"/>
      <c r="G67" s="1159"/>
      <c r="H67" s="1253"/>
      <c r="I67" s="1034">
        <f>I68+I90</f>
        <v>26700.518999999993</v>
      </c>
      <c r="J67" s="358" t="e">
        <f>#REF!+J68</f>
        <v>#REF!</v>
      </c>
      <c r="K67" s="152" t="e">
        <f>#REF!+K68</f>
        <v>#REF!</v>
      </c>
      <c r="L67" s="152" t="e">
        <f>#REF!+L68</f>
        <v>#REF!</v>
      </c>
      <c r="M67" s="382" t="e">
        <f>#REF!+M68</f>
        <v>#REF!</v>
      </c>
    </row>
    <row r="68" spans="1:13" x14ac:dyDescent="0.2">
      <c r="A68" s="194" t="s">
        <v>225</v>
      </c>
      <c r="B68" s="25" t="s">
        <v>289</v>
      </c>
      <c r="C68" s="899" t="s">
        <v>107</v>
      </c>
      <c r="D68" s="781" t="s">
        <v>696</v>
      </c>
      <c r="E68" s="11" t="s">
        <v>530</v>
      </c>
      <c r="F68" s="11" t="s">
        <v>531</v>
      </c>
      <c r="G68" s="784"/>
      <c r="H68" s="842"/>
      <c r="I68" s="371">
        <f>I73</f>
        <v>1117.634</v>
      </c>
      <c r="J68" s="359">
        <f>J73</f>
        <v>164.7</v>
      </c>
      <c r="K68" s="186">
        <f>K73</f>
        <v>164.7</v>
      </c>
      <c r="L68" s="186">
        <f>L73</f>
        <v>164.7</v>
      </c>
      <c r="M68" s="383">
        <f>M73</f>
        <v>164.7</v>
      </c>
    </row>
    <row r="69" spans="1:13" hidden="1" x14ac:dyDescent="0.2">
      <c r="A69" s="197" t="s">
        <v>802</v>
      </c>
      <c r="B69" s="395"/>
      <c r="C69" s="900" t="s">
        <v>294</v>
      </c>
      <c r="D69" s="788"/>
      <c r="E69" s="6" t="s">
        <v>307</v>
      </c>
      <c r="F69" s="6" t="s">
        <v>124</v>
      </c>
      <c r="G69" s="789" t="s">
        <v>309</v>
      </c>
      <c r="H69" s="845" t="s">
        <v>295</v>
      </c>
      <c r="I69" s="341"/>
      <c r="J69" s="360"/>
      <c r="K69" s="189"/>
      <c r="L69" s="189"/>
      <c r="M69" s="384"/>
    </row>
    <row r="70" spans="1:13" hidden="1" x14ac:dyDescent="0.2">
      <c r="A70" s="198" t="s">
        <v>473</v>
      </c>
      <c r="B70" s="7"/>
      <c r="C70" s="902" t="s">
        <v>310</v>
      </c>
      <c r="D70" s="788"/>
      <c r="E70" s="6" t="s">
        <v>307</v>
      </c>
      <c r="F70" s="6" t="s">
        <v>124</v>
      </c>
      <c r="G70" s="789" t="s">
        <v>309</v>
      </c>
      <c r="H70" s="845" t="s">
        <v>298</v>
      </c>
      <c r="I70" s="341"/>
      <c r="J70" s="360"/>
      <c r="K70" s="189"/>
      <c r="L70" s="189"/>
      <c r="M70" s="384"/>
    </row>
    <row r="71" spans="1:13" hidden="1" x14ac:dyDescent="0.2">
      <c r="A71" s="198" t="s">
        <v>215</v>
      </c>
      <c r="B71" s="7"/>
      <c r="C71" s="902" t="s">
        <v>125</v>
      </c>
      <c r="D71" s="788"/>
      <c r="E71" s="6" t="s">
        <v>307</v>
      </c>
      <c r="F71" s="6" t="s">
        <v>124</v>
      </c>
      <c r="G71" s="789" t="s">
        <v>309</v>
      </c>
      <c r="H71" s="845" t="s">
        <v>305</v>
      </c>
      <c r="I71" s="341"/>
      <c r="J71" s="360"/>
      <c r="K71" s="189"/>
      <c r="L71" s="189"/>
      <c r="M71" s="384"/>
    </row>
    <row r="72" spans="1:13" hidden="1" x14ac:dyDescent="0.2">
      <c r="A72" s="198" t="s">
        <v>216</v>
      </c>
      <c r="B72" s="7"/>
      <c r="C72" s="902" t="s">
        <v>126</v>
      </c>
      <c r="D72" s="788"/>
      <c r="E72" s="6" t="s">
        <v>307</v>
      </c>
      <c r="F72" s="6" t="s">
        <v>124</v>
      </c>
      <c r="G72" s="789" t="s">
        <v>309</v>
      </c>
      <c r="H72" s="845" t="s">
        <v>306</v>
      </c>
      <c r="I72" s="341"/>
      <c r="J72" s="360"/>
      <c r="K72" s="189"/>
      <c r="L72" s="189"/>
      <c r="M72" s="384"/>
    </row>
    <row r="73" spans="1:13" ht="24" customHeight="1" x14ac:dyDescent="0.2">
      <c r="A73" s="194" t="s">
        <v>336</v>
      </c>
      <c r="B73" s="7" t="s">
        <v>225</v>
      </c>
      <c r="C73" s="1069" t="s">
        <v>1116</v>
      </c>
      <c r="D73" s="783" t="s">
        <v>696</v>
      </c>
      <c r="E73" s="182" t="s">
        <v>530</v>
      </c>
      <c r="F73" s="182" t="s">
        <v>531</v>
      </c>
      <c r="G73" s="784" t="s">
        <v>1122</v>
      </c>
      <c r="H73" s="845"/>
      <c r="I73" s="370">
        <f>Бюд.р.!H153</f>
        <v>1117.634</v>
      </c>
      <c r="J73" s="360">
        <v>164.7</v>
      </c>
      <c r="K73" s="189">
        <v>164.7</v>
      </c>
      <c r="L73" s="189">
        <v>164.7</v>
      </c>
      <c r="M73" s="384">
        <v>164.7</v>
      </c>
    </row>
    <row r="74" spans="1:13" ht="24" hidden="1" x14ac:dyDescent="0.2">
      <c r="A74" s="197" t="s">
        <v>337</v>
      </c>
      <c r="B74" s="13"/>
      <c r="C74" s="906" t="s">
        <v>294</v>
      </c>
      <c r="D74" s="781"/>
      <c r="E74" s="32" t="s">
        <v>307</v>
      </c>
      <c r="F74" s="32" t="s">
        <v>124</v>
      </c>
      <c r="G74" s="785" t="s">
        <v>808</v>
      </c>
      <c r="H74" s="843" t="s">
        <v>295</v>
      </c>
      <c r="I74" s="341"/>
      <c r="J74" s="361"/>
      <c r="K74" s="237"/>
      <c r="L74" s="237"/>
      <c r="M74" s="350"/>
    </row>
    <row r="75" spans="1:13" hidden="1" x14ac:dyDescent="0.2">
      <c r="A75" s="198" t="s">
        <v>338</v>
      </c>
      <c r="B75" s="7"/>
      <c r="C75" s="907" t="s">
        <v>310</v>
      </c>
      <c r="D75" s="794"/>
      <c r="E75" s="9" t="s">
        <v>307</v>
      </c>
      <c r="F75" s="9" t="s">
        <v>124</v>
      </c>
      <c r="G75" s="795" t="s">
        <v>808</v>
      </c>
      <c r="H75" s="850" t="s">
        <v>298</v>
      </c>
      <c r="I75" s="341"/>
      <c r="J75" s="361"/>
      <c r="K75" s="237"/>
      <c r="L75" s="237"/>
      <c r="M75" s="350"/>
    </row>
    <row r="76" spans="1:13" hidden="1" x14ac:dyDescent="0.2">
      <c r="A76" s="199" t="s">
        <v>215</v>
      </c>
      <c r="B76" s="2"/>
      <c r="C76" s="902" t="s">
        <v>125</v>
      </c>
      <c r="D76" s="788"/>
      <c r="E76" s="6" t="s">
        <v>307</v>
      </c>
      <c r="F76" s="6" t="s">
        <v>124</v>
      </c>
      <c r="G76" s="789" t="s">
        <v>808</v>
      </c>
      <c r="H76" s="845" t="s">
        <v>305</v>
      </c>
      <c r="I76" s="341"/>
      <c r="J76" s="362"/>
      <c r="K76" s="190"/>
      <c r="L76" s="190"/>
      <c r="M76" s="385"/>
    </row>
    <row r="77" spans="1:13" hidden="1" x14ac:dyDescent="0.2">
      <c r="A77" s="199" t="s">
        <v>216</v>
      </c>
      <c r="B77" s="2"/>
      <c r="C77" s="902" t="s">
        <v>128</v>
      </c>
      <c r="D77" s="788"/>
      <c r="E77" s="6" t="s">
        <v>307</v>
      </c>
      <c r="F77" s="6" t="s">
        <v>288</v>
      </c>
      <c r="G77" s="789" t="s">
        <v>808</v>
      </c>
      <c r="H77" s="845" t="s">
        <v>504</v>
      </c>
      <c r="I77" s="341"/>
      <c r="J77" s="362"/>
      <c r="K77" s="190"/>
      <c r="L77" s="190"/>
      <c r="M77" s="385"/>
    </row>
    <row r="78" spans="1:13" hidden="1" x14ac:dyDescent="0.2">
      <c r="A78" s="199" t="s">
        <v>221</v>
      </c>
      <c r="B78" s="2"/>
      <c r="C78" s="902" t="s">
        <v>129</v>
      </c>
      <c r="D78" s="788"/>
      <c r="E78" s="6" t="s">
        <v>307</v>
      </c>
      <c r="F78" s="6" t="s">
        <v>124</v>
      </c>
      <c r="G78" s="789" t="s">
        <v>808</v>
      </c>
      <c r="H78" s="845" t="s">
        <v>306</v>
      </c>
      <c r="I78" s="341"/>
      <c r="J78" s="362"/>
      <c r="K78" s="190"/>
      <c r="L78" s="190"/>
      <c r="M78" s="385"/>
    </row>
    <row r="79" spans="1:13" hidden="1" x14ac:dyDescent="0.2">
      <c r="A79" s="198" t="s">
        <v>206</v>
      </c>
      <c r="B79" s="7"/>
      <c r="C79" s="901" t="s">
        <v>314</v>
      </c>
      <c r="D79" s="786"/>
      <c r="E79" s="8" t="s">
        <v>307</v>
      </c>
      <c r="F79" s="8" t="s">
        <v>124</v>
      </c>
      <c r="G79" s="787" t="s">
        <v>808</v>
      </c>
      <c r="H79" s="844" t="s">
        <v>505</v>
      </c>
      <c r="I79" s="341"/>
      <c r="J79" s="361"/>
      <c r="K79" s="237"/>
      <c r="L79" s="237"/>
      <c r="M79" s="350"/>
    </row>
    <row r="80" spans="1:13" hidden="1" x14ac:dyDescent="0.2">
      <c r="A80" s="201" t="s">
        <v>215</v>
      </c>
      <c r="B80" s="19"/>
      <c r="C80" s="908" t="s">
        <v>130</v>
      </c>
      <c r="D80" s="880"/>
      <c r="E80" s="35" t="s">
        <v>307</v>
      </c>
      <c r="F80" s="35" t="s">
        <v>124</v>
      </c>
      <c r="G80" s="881" t="s">
        <v>808</v>
      </c>
      <c r="H80" s="849" t="s">
        <v>506</v>
      </c>
      <c r="I80" s="341"/>
      <c r="J80" s="362"/>
      <c r="K80" s="190"/>
      <c r="L80" s="190"/>
      <c r="M80" s="385"/>
    </row>
    <row r="81" spans="1:13" hidden="1" x14ac:dyDescent="0.2">
      <c r="A81" s="201" t="s">
        <v>216</v>
      </c>
      <c r="B81" s="19"/>
      <c r="C81" s="908" t="s">
        <v>131</v>
      </c>
      <c r="D81" s="880"/>
      <c r="E81" s="35" t="s">
        <v>307</v>
      </c>
      <c r="F81" s="35" t="s">
        <v>124</v>
      </c>
      <c r="G81" s="881" t="s">
        <v>808</v>
      </c>
      <c r="H81" s="849" t="s">
        <v>507</v>
      </c>
      <c r="I81" s="341"/>
      <c r="J81" s="362"/>
      <c r="K81" s="190"/>
      <c r="L81" s="190"/>
      <c r="M81" s="385"/>
    </row>
    <row r="82" spans="1:13" hidden="1" x14ac:dyDescent="0.2">
      <c r="A82" s="202" t="s">
        <v>221</v>
      </c>
      <c r="B82" s="396"/>
      <c r="C82" s="908" t="s">
        <v>132</v>
      </c>
      <c r="D82" s="880"/>
      <c r="E82" s="5" t="s">
        <v>307</v>
      </c>
      <c r="F82" s="5" t="s">
        <v>124</v>
      </c>
      <c r="G82" s="882" t="s">
        <v>808</v>
      </c>
      <c r="H82" s="849" t="s">
        <v>508</v>
      </c>
      <c r="I82" s="341"/>
      <c r="J82" s="362"/>
      <c r="K82" s="190"/>
      <c r="L82" s="190"/>
      <c r="M82" s="385"/>
    </row>
    <row r="83" spans="1:13" ht="14.25" hidden="1" customHeight="1" x14ac:dyDescent="0.2">
      <c r="A83" s="202" t="s">
        <v>222</v>
      </c>
      <c r="B83" s="396"/>
      <c r="C83" s="908" t="s">
        <v>133</v>
      </c>
      <c r="D83" s="880"/>
      <c r="E83" s="5" t="s">
        <v>307</v>
      </c>
      <c r="F83" s="5" t="s">
        <v>124</v>
      </c>
      <c r="G83" s="882" t="s">
        <v>808</v>
      </c>
      <c r="H83" s="849" t="s">
        <v>509</v>
      </c>
      <c r="I83" s="341"/>
      <c r="J83" s="362"/>
      <c r="K83" s="190"/>
      <c r="L83" s="190"/>
      <c r="M83" s="385"/>
    </row>
    <row r="84" spans="1:13" hidden="1" x14ac:dyDescent="0.2">
      <c r="A84" s="202" t="s">
        <v>223</v>
      </c>
      <c r="B84" s="396"/>
      <c r="C84" s="908" t="s">
        <v>134</v>
      </c>
      <c r="D84" s="880"/>
      <c r="E84" s="5" t="s">
        <v>307</v>
      </c>
      <c r="F84" s="5" t="s">
        <v>124</v>
      </c>
      <c r="G84" s="882" t="s">
        <v>808</v>
      </c>
      <c r="H84" s="849" t="s">
        <v>918</v>
      </c>
      <c r="I84" s="341"/>
      <c r="J84" s="362"/>
      <c r="K84" s="190"/>
      <c r="L84" s="190"/>
      <c r="M84" s="385"/>
    </row>
    <row r="85" spans="1:13" hidden="1" x14ac:dyDescent="0.2">
      <c r="A85" s="202" t="s">
        <v>224</v>
      </c>
      <c r="B85" s="396"/>
      <c r="C85" s="908" t="s">
        <v>135</v>
      </c>
      <c r="D85" s="880"/>
      <c r="E85" s="5" t="s">
        <v>307</v>
      </c>
      <c r="F85" s="5" t="s">
        <v>124</v>
      </c>
      <c r="G85" s="882" t="s">
        <v>808</v>
      </c>
      <c r="H85" s="849" t="s">
        <v>919</v>
      </c>
      <c r="I85" s="341"/>
      <c r="J85" s="362"/>
      <c r="K85" s="190"/>
      <c r="L85" s="190"/>
      <c r="M85" s="385"/>
    </row>
    <row r="86" spans="1:13" hidden="1" x14ac:dyDescent="0.2">
      <c r="A86" s="198" t="s">
        <v>207</v>
      </c>
      <c r="B86" s="7"/>
      <c r="C86" s="901" t="s">
        <v>352</v>
      </c>
      <c r="D86" s="786"/>
      <c r="E86" s="8" t="s">
        <v>307</v>
      </c>
      <c r="F86" s="8" t="s">
        <v>124</v>
      </c>
      <c r="G86" s="787" t="s">
        <v>808</v>
      </c>
      <c r="H86" s="844" t="s">
        <v>318</v>
      </c>
      <c r="I86" s="341"/>
      <c r="J86" s="361"/>
      <c r="K86" s="237"/>
      <c r="L86" s="237"/>
      <c r="M86" s="350"/>
    </row>
    <row r="87" spans="1:13" ht="16.5" hidden="1" customHeight="1" x14ac:dyDescent="0.2">
      <c r="A87" s="197" t="s">
        <v>208</v>
      </c>
      <c r="B87" s="13"/>
      <c r="C87" s="906" t="s">
        <v>297</v>
      </c>
      <c r="D87" s="797"/>
      <c r="E87" s="43" t="s">
        <v>307</v>
      </c>
      <c r="F87" s="32" t="s">
        <v>124</v>
      </c>
      <c r="G87" s="883" t="s">
        <v>808</v>
      </c>
      <c r="H87" s="1254" t="s">
        <v>311</v>
      </c>
      <c r="I87" s="341"/>
      <c r="J87" s="361"/>
      <c r="K87" s="237"/>
      <c r="L87" s="237"/>
      <c r="M87" s="350"/>
    </row>
    <row r="88" spans="1:13" ht="15.75" hidden="1" customHeight="1" x14ac:dyDescent="0.2">
      <c r="A88" s="198" t="s">
        <v>209</v>
      </c>
      <c r="B88" s="7"/>
      <c r="C88" s="902" t="s">
        <v>279</v>
      </c>
      <c r="D88" s="788"/>
      <c r="E88" s="6" t="s">
        <v>307</v>
      </c>
      <c r="F88" s="6" t="s">
        <v>124</v>
      </c>
      <c r="G88" s="789" t="s">
        <v>808</v>
      </c>
      <c r="H88" s="845" t="s">
        <v>315</v>
      </c>
      <c r="I88" s="341"/>
      <c r="J88" s="361"/>
      <c r="K88" s="237"/>
      <c r="L88" s="237"/>
      <c r="M88" s="350"/>
    </row>
    <row r="89" spans="1:13" ht="15" hidden="1" customHeight="1" x14ac:dyDescent="0.2">
      <c r="A89" s="198" t="s">
        <v>210</v>
      </c>
      <c r="B89" s="7"/>
      <c r="C89" s="902" t="s">
        <v>280</v>
      </c>
      <c r="D89" s="788"/>
      <c r="E89" s="6" t="s">
        <v>307</v>
      </c>
      <c r="F89" s="6" t="s">
        <v>124</v>
      </c>
      <c r="G89" s="789" t="s">
        <v>808</v>
      </c>
      <c r="H89" s="845" t="s">
        <v>316</v>
      </c>
      <c r="I89" s="341"/>
      <c r="J89" s="361"/>
      <c r="K89" s="237"/>
      <c r="L89" s="237"/>
      <c r="M89" s="350"/>
    </row>
    <row r="90" spans="1:13" ht="15" customHeight="1" x14ac:dyDescent="0.2">
      <c r="A90" s="198"/>
      <c r="B90" s="25" t="s">
        <v>8</v>
      </c>
      <c r="C90" s="1292" t="s">
        <v>1134</v>
      </c>
      <c r="D90" s="781" t="s">
        <v>696</v>
      </c>
      <c r="E90" s="11" t="s">
        <v>530</v>
      </c>
      <c r="F90" s="11" t="s">
        <v>69</v>
      </c>
      <c r="G90" s="782"/>
      <c r="H90" s="1255"/>
      <c r="I90" s="371">
        <f>I91+I95</f>
        <v>25582.884999999995</v>
      </c>
      <c r="J90" s="361"/>
      <c r="K90" s="237"/>
      <c r="L90" s="237"/>
      <c r="M90" s="350"/>
    </row>
    <row r="91" spans="1:13" ht="33.75" customHeight="1" x14ac:dyDescent="0.2">
      <c r="A91" s="198"/>
      <c r="B91" s="840" t="s">
        <v>9</v>
      </c>
      <c r="C91" s="909" t="s">
        <v>72</v>
      </c>
      <c r="D91" s="805">
        <v>968</v>
      </c>
      <c r="E91" s="463">
        <v>104</v>
      </c>
      <c r="F91" s="463" t="s">
        <v>70</v>
      </c>
      <c r="G91" s="792"/>
      <c r="H91" s="842"/>
      <c r="I91" s="766">
        <f>SUM(I92:I94)</f>
        <v>25577.284999999996</v>
      </c>
      <c r="J91" s="361"/>
      <c r="K91" s="237"/>
      <c r="L91" s="237"/>
      <c r="M91" s="350"/>
    </row>
    <row r="92" spans="1:13" ht="21.75" customHeight="1" x14ac:dyDescent="0.2">
      <c r="A92" s="198"/>
      <c r="B92" s="7" t="s">
        <v>40</v>
      </c>
      <c r="C92" s="1069" t="s">
        <v>1116</v>
      </c>
      <c r="D92" s="826">
        <v>968</v>
      </c>
      <c r="E92" s="826">
        <v>104</v>
      </c>
      <c r="F92" s="826" t="s">
        <v>70</v>
      </c>
      <c r="G92" s="826">
        <v>120</v>
      </c>
      <c r="H92" s="1255"/>
      <c r="I92" s="370">
        <f>Бюд.р.!H160</f>
        <v>19631.648999999998</v>
      </c>
      <c r="J92" s="361"/>
      <c r="K92" s="237"/>
      <c r="L92" s="237"/>
      <c r="M92" s="350"/>
    </row>
    <row r="93" spans="1:13" ht="12" customHeight="1" x14ac:dyDescent="0.2">
      <c r="A93" s="198"/>
      <c r="B93" s="7" t="s">
        <v>1126</v>
      </c>
      <c r="C93" s="828" t="s">
        <v>1118</v>
      </c>
      <c r="D93" s="826">
        <v>968</v>
      </c>
      <c r="E93" s="826">
        <v>104</v>
      </c>
      <c r="F93" s="826" t="s">
        <v>70</v>
      </c>
      <c r="G93" s="826">
        <v>240</v>
      </c>
      <c r="H93" s="1255"/>
      <c r="I93" s="370">
        <f>Бюд.р.!H165</f>
        <v>5925.0360000000001</v>
      </c>
      <c r="J93" s="361"/>
      <c r="K93" s="237"/>
      <c r="L93" s="237"/>
      <c r="M93" s="350"/>
    </row>
    <row r="94" spans="1:13" ht="12" customHeight="1" x14ac:dyDescent="0.2">
      <c r="A94" s="198"/>
      <c r="B94" s="7" t="s">
        <v>1127</v>
      </c>
      <c r="C94" s="828" t="s">
        <v>1117</v>
      </c>
      <c r="D94" s="826">
        <v>968</v>
      </c>
      <c r="E94" s="826">
        <v>104</v>
      </c>
      <c r="F94" s="826" t="s">
        <v>70</v>
      </c>
      <c r="G94" s="826">
        <v>850</v>
      </c>
      <c r="H94" s="1255"/>
      <c r="I94" s="370">
        <f>Бюд.р.!H202</f>
        <v>20.6</v>
      </c>
      <c r="J94" s="361"/>
      <c r="K94" s="237"/>
      <c r="L94" s="237"/>
      <c r="M94" s="350"/>
    </row>
    <row r="95" spans="1:13" ht="50.25" customHeight="1" x14ac:dyDescent="0.2">
      <c r="A95" s="198"/>
      <c r="B95" s="840" t="s">
        <v>39</v>
      </c>
      <c r="C95" s="909" t="s">
        <v>74</v>
      </c>
      <c r="D95" s="886">
        <v>968</v>
      </c>
      <c r="E95" s="887">
        <v>104</v>
      </c>
      <c r="F95" s="887" t="s">
        <v>75</v>
      </c>
      <c r="G95" s="888"/>
      <c r="H95" s="850"/>
      <c r="I95" s="833">
        <f>I96</f>
        <v>5.6</v>
      </c>
      <c r="J95" s="361"/>
      <c r="K95" s="237"/>
      <c r="L95" s="237"/>
      <c r="M95" s="350"/>
    </row>
    <row r="96" spans="1:13" ht="25.5" customHeight="1" x14ac:dyDescent="0.2">
      <c r="A96" s="198"/>
      <c r="B96" s="396" t="s">
        <v>41</v>
      </c>
      <c r="C96" s="910" t="s">
        <v>885</v>
      </c>
      <c r="D96" s="826">
        <v>968</v>
      </c>
      <c r="E96" s="826">
        <v>104</v>
      </c>
      <c r="F96" s="826" t="s">
        <v>75</v>
      </c>
      <c r="G96" s="826">
        <v>598</v>
      </c>
      <c r="H96" s="849"/>
      <c r="I96" s="827">
        <f>Бюд.р.!H210</f>
        <v>5.6</v>
      </c>
      <c r="J96" s="361"/>
      <c r="K96" s="237"/>
      <c r="L96" s="237"/>
      <c r="M96" s="350"/>
    </row>
    <row r="97" spans="1:13" ht="18.75" customHeight="1" x14ac:dyDescent="0.2">
      <c r="A97" s="198"/>
      <c r="B97" s="413" t="s">
        <v>745</v>
      </c>
      <c r="C97" s="944" t="s">
        <v>31</v>
      </c>
      <c r="D97" s="945">
        <v>968</v>
      </c>
      <c r="E97" s="945">
        <v>111</v>
      </c>
      <c r="F97" s="945"/>
      <c r="G97" s="945"/>
      <c r="H97" s="1256"/>
      <c r="I97" s="946">
        <f>I98</f>
        <v>2739.1710000000003</v>
      </c>
      <c r="J97" s="361"/>
      <c r="K97" s="237"/>
      <c r="L97" s="237"/>
      <c r="M97" s="350"/>
    </row>
    <row r="98" spans="1:13" ht="15" customHeight="1" x14ac:dyDescent="0.2">
      <c r="A98" s="198"/>
      <c r="B98" s="25" t="s">
        <v>746</v>
      </c>
      <c r="C98" s="487" t="s">
        <v>32</v>
      </c>
      <c r="D98" s="463">
        <v>968</v>
      </c>
      <c r="E98" s="463">
        <v>111</v>
      </c>
      <c r="F98" s="463" t="s">
        <v>33</v>
      </c>
      <c r="G98" s="463"/>
      <c r="H98" s="845"/>
      <c r="I98" s="766">
        <f>I99</f>
        <v>2739.1710000000003</v>
      </c>
      <c r="J98" s="361"/>
      <c r="K98" s="237"/>
      <c r="L98" s="237"/>
      <c r="M98" s="350"/>
    </row>
    <row r="99" spans="1:13" ht="13.5" customHeight="1" x14ac:dyDescent="0.2">
      <c r="A99" s="198"/>
      <c r="B99" s="7" t="s">
        <v>489</v>
      </c>
      <c r="C99" s="828" t="s">
        <v>1119</v>
      </c>
      <c r="D99" s="826">
        <v>968</v>
      </c>
      <c r="E99" s="826">
        <v>111</v>
      </c>
      <c r="F99" s="826" t="s">
        <v>34</v>
      </c>
      <c r="G99" s="826">
        <v>870</v>
      </c>
      <c r="H99" s="849"/>
      <c r="I99" s="827">
        <f>Бюд.р.!H223</f>
        <v>2739.1710000000003</v>
      </c>
      <c r="J99" s="361"/>
      <c r="K99" s="237"/>
      <c r="L99" s="237"/>
      <c r="M99" s="350"/>
    </row>
    <row r="100" spans="1:13" ht="15" customHeight="1" x14ac:dyDescent="0.25">
      <c r="A100" s="198"/>
      <c r="B100" s="1103" t="s">
        <v>349</v>
      </c>
      <c r="C100" s="1100" t="s">
        <v>464</v>
      </c>
      <c r="D100" s="1093" t="s">
        <v>696</v>
      </c>
      <c r="E100" s="1104" t="s">
        <v>1054</v>
      </c>
      <c r="F100" s="1101"/>
      <c r="G100" s="1102"/>
      <c r="H100" s="1106"/>
      <c r="I100" s="1095" t="e">
        <f>I101+I103+I114+I116+I118+I120</f>
        <v>#REF!</v>
      </c>
      <c r="J100" s="356">
        <f>J101+J103+J108+J116</f>
        <v>125</v>
      </c>
      <c r="K100" s="345">
        <f>K101+K103+K108+K116</f>
        <v>125</v>
      </c>
      <c r="L100" s="345">
        <f>L101+L103+L108+L116</f>
        <v>125</v>
      </c>
      <c r="M100" s="380">
        <f>M101+M103+M108+M116</f>
        <v>125</v>
      </c>
    </row>
    <row r="101" spans="1:13" ht="39.75" customHeight="1" x14ac:dyDescent="0.2">
      <c r="A101" s="198"/>
      <c r="B101" s="25" t="s">
        <v>805</v>
      </c>
      <c r="C101" s="490" t="s">
        <v>1137</v>
      </c>
      <c r="D101" s="781" t="s">
        <v>696</v>
      </c>
      <c r="E101" s="11" t="s">
        <v>1054</v>
      </c>
      <c r="F101" s="58" t="str">
        <f>F102</f>
        <v>090 01 00</v>
      </c>
      <c r="G101" s="782"/>
      <c r="H101" s="852"/>
      <c r="I101" s="371">
        <f>I102</f>
        <v>109.65</v>
      </c>
      <c r="J101" s="359">
        <f>J102</f>
        <v>0</v>
      </c>
      <c r="K101" s="186">
        <f>K102</f>
        <v>0</v>
      </c>
      <c r="L101" s="186">
        <f>L102</f>
        <v>0</v>
      </c>
      <c r="M101" s="383">
        <f>M102</f>
        <v>0</v>
      </c>
    </row>
    <row r="102" spans="1:13" ht="13.5" customHeight="1" x14ac:dyDescent="0.2">
      <c r="A102" s="200"/>
      <c r="B102" s="7" t="s">
        <v>109</v>
      </c>
      <c r="C102" s="828" t="s">
        <v>1118</v>
      </c>
      <c r="D102" s="783" t="s">
        <v>696</v>
      </c>
      <c r="E102" s="182" t="s">
        <v>1054</v>
      </c>
      <c r="F102" s="182" t="s">
        <v>1135</v>
      </c>
      <c r="G102" s="1058" t="s">
        <v>495</v>
      </c>
      <c r="H102" s="846"/>
      <c r="I102" s="370">
        <f>Бюд.р.!H229</f>
        <v>109.65</v>
      </c>
      <c r="J102" s="360">
        <v>0</v>
      </c>
      <c r="K102" s="189">
        <v>0</v>
      </c>
      <c r="L102" s="189">
        <v>0</v>
      </c>
      <c r="M102" s="384">
        <v>0</v>
      </c>
    </row>
    <row r="103" spans="1:13" ht="57" customHeight="1" x14ac:dyDescent="0.2">
      <c r="A103" s="193" t="s">
        <v>746</v>
      </c>
      <c r="B103" s="25" t="s">
        <v>890</v>
      </c>
      <c r="C103" s="899" t="s">
        <v>468</v>
      </c>
      <c r="D103" s="781" t="s">
        <v>696</v>
      </c>
      <c r="E103" s="11" t="s">
        <v>1054</v>
      </c>
      <c r="F103" s="59" t="s">
        <v>274</v>
      </c>
      <c r="G103" s="796"/>
      <c r="H103" s="841"/>
      <c r="I103" s="371">
        <f>SUM(I104:I113)</f>
        <v>0</v>
      </c>
      <c r="J103" s="359">
        <f>J104</f>
        <v>125</v>
      </c>
      <c r="K103" s="186">
        <f>K104</f>
        <v>125</v>
      </c>
      <c r="L103" s="186">
        <f>L104</f>
        <v>125</v>
      </c>
      <c r="M103" s="383">
        <f>M104</f>
        <v>125</v>
      </c>
    </row>
    <row r="104" spans="1:13" ht="14.25" hidden="1" customHeight="1" x14ac:dyDescent="0.2">
      <c r="A104" s="194" t="s">
        <v>489</v>
      </c>
      <c r="B104" s="7" t="s">
        <v>527</v>
      </c>
      <c r="C104" s="900" t="s">
        <v>469</v>
      </c>
      <c r="D104" s="783" t="s">
        <v>696</v>
      </c>
      <c r="E104" s="182" t="s">
        <v>1054</v>
      </c>
      <c r="F104" s="182" t="s">
        <v>274</v>
      </c>
      <c r="G104" s="784" t="s">
        <v>920</v>
      </c>
      <c r="H104" s="842"/>
      <c r="I104" s="370">
        <f>Бюд.р.!H233</f>
        <v>0</v>
      </c>
      <c r="J104" s="360">
        <v>125</v>
      </c>
      <c r="K104" s="189">
        <v>125</v>
      </c>
      <c r="L104" s="189">
        <v>125</v>
      </c>
      <c r="M104" s="384">
        <v>125</v>
      </c>
    </row>
    <row r="105" spans="1:13" ht="24" hidden="1" x14ac:dyDescent="0.2">
      <c r="A105" s="197" t="s">
        <v>490</v>
      </c>
      <c r="B105" s="13"/>
      <c r="C105" s="899" t="s">
        <v>294</v>
      </c>
      <c r="D105" s="797"/>
      <c r="E105" s="32" t="s">
        <v>317</v>
      </c>
      <c r="F105" s="32" t="s">
        <v>803</v>
      </c>
      <c r="G105" s="785" t="s">
        <v>809</v>
      </c>
      <c r="H105" s="843" t="s">
        <v>295</v>
      </c>
      <c r="I105" s="341"/>
      <c r="J105" s="361"/>
      <c r="K105" s="237"/>
      <c r="L105" s="237"/>
      <c r="M105" s="350"/>
    </row>
    <row r="106" spans="1:13" hidden="1" x14ac:dyDescent="0.2">
      <c r="A106" s="203" t="s">
        <v>783</v>
      </c>
      <c r="B106" s="19"/>
      <c r="C106" s="902" t="s">
        <v>278</v>
      </c>
      <c r="D106" s="788"/>
      <c r="E106" s="6" t="s">
        <v>317</v>
      </c>
      <c r="F106" s="6" t="s">
        <v>803</v>
      </c>
      <c r="G106" s="789" t="s">
        <v>809</v>
      </c>
      <c r="H106" s="845" t="s">
        <v>318</v>
      </c>
      <c r="I106" s="341"/>
      <c r="J106" s="361"/>
      <c r="K106" s="237"/>
      <c r="L106" s="237"/>
      <c r="M106" s="350"/>
    </row>
    <row r="107" spans="1:13" ht="15" hidden="1" customHeight="1" x14ac:dyDescent="0.2">
      <c r="A107" s="200" t="s">
        <v>804</v>
      </c>
      <c r="B107" s="394"/>
      <c r="C107" s="903" t="s">
        <v>488</v>
      </c>
      <c r="D107" s="790"/>
      <c r="E107" s="183" t="s">
        <v>493</v>
      </c>
      <c r="F107" s="183"/>
      <c r="G107" s="798"/>
      <c r="H107" s="1257"/>
      <c r="I107" s="341"/>
      <c r="J107" s="361"/>
      <c r="K107" s="237"/>
      <c r="L107" s="237"/>
      <c r="M107" s="350"/>
    </row>
    <row r="108" spans="1:13" ht="23.25" hidden="1" customHeight="1" x14ac:dyDescent="0.2">
      <c r="A108" s="193" t="s">
        <v>857</v>
      </c>
      <c r="B108" s="25" t="s">
        <v>902</v>
      </c>
      <c r="C108" s="911" t="s">
        <v>645</v>
      </c>
      <c r="D108" s="781" t="s">
        <v>696</v>
      </c>
      <c r="E108" s="11" t="s">
        <v>465</v>
      </c>
      <c r="F108" s="59" t="s">
        <v>515</v>
      </c>
      <c r="G108" s="782"/>
      <c r="H108" s="841"/>
      <c r="I108" s="371">
        <f>I109</f>
        <v>0</v>
      </c>
      <c r="J108" s="359">
        <f>J109</f>
        <v>0</v>
      </c>
      <c r="K108" s="186">
        <f>K109</f>
        <v>0</v>
      </c>
      <c r="L108" s="186">
        <f>L109</f>
        <v>0</v>
      </c>
      <c r="M108" s="383">
        <f>M109</f>
        <v>0</v>
      </c>
    </row>
    <row r="109" spans="1:13" ht="16.5" hidden="1" customHeight="1" x14ac:dyDescent="0.2">
      <c r="A109" s="194" t="s">
        <v>748</v>
      </c>
      <c r="B109" s="7" t="s">
        <v>156</v>
      </c>
      <c r="C109" s="900" t="s">
        <v>469</v>
      </c>
      <c r="D109" s="783" t="s">
        <v>696</v>
      </c>
      <c r="E109" s="182" t="s">
        <v>465</v>
      </c>
      <c r="F109" s="182" t="s">
        <v>515</v>
      </c>
      <c r="G109" s="784" t="s">
        <v>920</v>
      </c>
      <c r="H109" s="842"/>
      <c r="I109" s="370"/>
      <c r="J109" s="360">
        <v>0</v>
      </c>
      <c r="K109" s="189">
        <v>0</v>
      </c>
      <c r="L109" s="189">
        <v>0</v>
      </c>
      <c r="M109" s="384">
        <v>0</v>
      </c>
    </row>
    <row r="110" spans="1:13" hidden="1" x14ac:dyDescent="0.2">
      <c r="A110" s="197" t="s">
        <v>858</v>
      </c>
      <c r="B110" s="13"/>
      <c r="C110" s="899" t="s">
        <v>294</v>
      </c>
      <c r="D110" s="797"/>
      <c r="E110" s="32" t="s">
        <v>493</v>
      </c>
      <c r="F110" s="32" t="s">
        <v>939</v>
      </c>
      <c r="G110" s="785" t="s">
        <v>921</v>
      </c>
      <c r="H110" s="843" t="s">
        <v>295</v>
      </c>
      <c r="I110" s="341"/>
      <c r="J110" s="361"/>
      <c r="K110" s="237"/>
      <c r="L110" s="237"/>
      <c r="M110" s="350"/>
    </row>
    <row r="111" spans="1:13" ht="23.25" hidden="1" customHeight="1" x14ac:dyDescent="0.2">
      <c r="A111" s="204" t="s">
        <v>859</v>
      </c>
      <c r="B111" s="13"/>
      <c r="C111" s="901" t="s">
        <v>491</v>
      </c>
      <c r="D111" s="786"/>
      <c r="E111" s="8" t="s">
        <v>493</v>
      </c>
      <c r="F111" s="8" t="s">
        <v>939</v>
      </c>
      <c r="G111" s="789" t="s">
        <v>921</v>
      </c>
      <c r="H111" s="844" t="s">
        <v>495</v>
      </c>
      <c r="I111" s="341"/>
      <c r="J111" s="361"/>
      <c r="K111" s="237"/>
      <c r="L111" s="237"/>
      <c r="M111" s="350"/>
    </row>
    <row r="112" spans="1:13" ht="33.75" hidden="1" x14ac:dyDescent="0.2">
      <c r="A112" s="205" t="s">
        <v>215</v>
      </c>
      <c r="B112" s="397"/>
      <c r="C112" s="902" t="s">
        <v>492</v>
      </c>
      <c r="D112" s="788"/>
      <c r="E112" s="6" t="s">
        <v>493</v>
      </c>
      <c r="F112" s="6" t="s">
        <v>939</v>
      </c>
      <c r="G112" s="789" t="s">
        <v>921</v>
      </c>
      <c r="H112" s="845" t="s">
        <v>494</v>
      </c>
      <c r="I112" s="341"/>
      <c r="J112" s="361"/>
      <c r="K112" s="237"/>
      <c r="L112" s="237"/>
      <c r="M112" s="350"/>
    </row>
    <row r="113" spans="1:13" x14ac:dyDescent="0.2">
      <c r="A113" s="205"/>
      <c r="B113" s="7" t="s">
        <v>527</v>
      </c>
      <c r="C113" s="900" t="s">
        <v>1062</v>
      </c>
      <c r="D113" s="783" t="s">
        <v>696</v>
      </c>
      <c r="E113" s="182" t="s">
        <v>1054</v>
      </c>
      <c r="F113" s="182" t="s">
        <v>274</v>
      </c>
      <c r="G113" s="784" t="s">
        <v>1128</v>
      </c>
      <c r="H113" s="842"/>
      <c r="I113" s="370">
        <f>Бюд.р.!H237</f>
        <v>0</v>
      </c>
      <c r="J113" s="361"/>
      <c r="K113" s="237"/>
      <c r="L113" s="237"/>
      <c r="M113" s="350"/>
    </row>
    <row r="114" spans="1:13" ht="16.5" customHeight="1" x14ac:dyDescent="0.2">
      <c r="A114" s="205"/>
      <c r="B114" s="25" t="s">
        <v>16</v>
      </c>
      <c r="C114" s="914" t="s">
        <v>1023</v>
      </c>
      <c r="D114" s="830">
        <v>968</v>
      </c>
      <c r="E114" s="830">
        <v>113</v>
      </c>
      <c r="F114" s="830" t="str">
        <f>F115</f>
        <v>092 02 00</v>
      </c>
      <c r="G114" s="830"/>
      <c r="H114" s="847"/>
      <c r="I114" s="825">
        <f>I115</f>
        <v>400</v>
      </c>
      <c r="J114" s="361"/>
      <c r="K114" s="237"/>
      <c r="L114" s="237"/>
      <c r="M114" s="350"/>
    </row>
    <row r="115" spans="1:13" x14ac:dyDescent="0.2">
      <c r="A115" s="205"/>
      <c r="B115" s="7" t="s">
        <v>17</v>
      </c>
      <c r="C115" s="828" t="s">
        <v>1118</v>
      </c>
      <c r="D115" s="826">
        <v>968</v>
      </c>
      <c r="E115" s="826">
        <v>113</v>
      </c>
      <c r="F115" s="826" t="s">
        <v>636</v>
      </c>
      <c r="G115" s="826">
        <v>240</v>
      </c>
      <c r="H115" s="851"/>
      <c r="I115" s="827">
        <f>'ВЕД.СТ Пр.2.'!I84</f>
        <v>400</v>
      </c>
      <c r="J115" s="361"/>
      <c r="K115" s="237"/>
      <c r="L115" s="237"/>
      <c r="M115" s="350"/>
    </row>
    <row r="116" spans="1:13" ht="24.75" customHeight="1" x14ac:dyDescent="0.2">
      <c r="A116" s="205"/>
      <c r="B116" s="25" t="s">
        <v>1030</v>
      </c>
      <c r="C116" s="487" t="s">
        <v>1138</v>
      </c>
      <c r="D116" s="781" t="s">
        <v>696</v>
      </c>
      <c r="E116" s="11" t="s">
        <v>1054</v>
      </c>
      <c r="F116" s="1293" t="s">
        <v>524</v>
      </c>
      <c r="G116" s="792"/>
      <c r="H116" s="853"/>
      <c r="I116" s="369" t="e">
        <f>I117</f>
        <v>#REF!</v>
      </c>
      <c r="J116" s="363">
        <f>J117</f>
        <v>0</v>
      </c>
      <c r="K116" s="155">
        <f>K117</f>
        <v>0</v>
      </c>
      <c r="L116" s="155">
        <f>L117</f>
        <v>0</v>
      </c>
      <c r="M116" s="386">
        <f>M117</f>
        <v>0</v>
      </c>
    </row>
    <row r="117" spans="1:13" ht="23.25" customHeight="1" x14ac:dyDescent="0.2">
      <c r="A117" s="205"/>
      <c r="B117" s="7" t="s">
        <v>1031</v>
      </c>
      <c r="C117" s="828" t="s">
        <v>1121</v>
      </c>
      <c r="D117" s="783" t="s">
        <v>696</v>
      </c>
      <c r="E117" s="182" t="s">
        <v>1054</v>
      </c>
      <c r="F117" s="182" t="s">
        <v>524</v>
      </c>
      <c r="G117" s="784" t="s">
        <v>1010</v>
      </c>
      <c r="H117" s="842"/>
      <c r="I117" s="370" t="e">
        <f>Бюд.р.!#REF!</f>
        <v>#REF!</v>
      </c>
      <c r="J117" s="360">
        <v>0</v>
      </c>
      <c r="K117" s="189">
        <v>0</v>
      </c>
      <c r="L117" s="189">
        <v>0</v>
      </c>
      <c r="M117" s="384">
        <v>0</v>
      </c>
    </row>
    <row r="118" spans="1:13" ht="33.75" customHeight="1" x14ac:dyDescent="0.2">
      <c r="A118" s="205"/>
      <c r="B118" s="25" t="s">
        <v>1032</v>
      </c>
      <c r="C118" s="914" t="s">
        <v>1021</v>
      </c>
      <c r="D118" s="830">
        <v>968</v>
      </c>
      <c r="E118" s="830">
        <v>113</v>
      </c>
      <c r="F118" s="830" t="str">
        <f>F119</f>
        <v>092 06 00</v>
      </c>
      <c r="G118" s="830"/>
      <c r="H118" s="851"/>
      <c r="I118" s="825">
        <f>I119</f>
        <v>333.91999999999996</v>
      </c>
      <c r="J118" s="360"/>
      <c r="K118" s="189"/>
      <c r="L118" s="189"/>
      <c r="M118" s="384"/>
    </row>
    <row r="119" spans="1:13" ht="13.5" customHeight="1" x14ac:dyDescent="0.2">
      <c r="A119" s="205"/>
      <c r="B119" s="1027" t="s">
        <v>1033</v>
      </c>
      <c r="C119" s="1028" t="s">
        <v>469</v>
      </c>
      <c r="D119" s="976">
        <v>968</v>
      </c>
      <c r="E119" s="976">
        <v>113</v>
      </c>
      <c r="F119" s="976" t="s">
        <v>1140</v>
      </c>
      <c r="G119" s="976">
        <v>500</v>
      </c>
      <c r="H119" s="1055"/>
      <c r="I119" s="827">
        <f>Бюд.р.!H253</f>
        <v>333.91999999999996</v>
      </c>
      <c r="J119" s="360"/>
      <c r="K119" s="189"/>
      <c r="L119" s="189"/>
      <c r="M119" s="384"/>
    </row>
    <row r="120" spans="1:13" ht="24" customHeight="1" x14ac:dyDescent="0.2">
      <c r="A120" s="205"/>
      <c r="B120" s="25" t="s">
        <v>1095</v>
      </c>
      <c r="C120" s="490" t="s">
        <v>1145</v>
      </c>
      <c r="D120" s="463">
        <v>968</v>
      </c>
      <c r="E120" s="463">
        <v>113</v>
      </c>
      <c r="F120" s="463" t="str">
        <f>F121</f>
        <v>795 02 00</v>
      </c>
      <c r="G120" s="742"/>
      <c r="H120" s="1243"/>
      <c r="I120" s="825">
        <f>I121</f>
        <v>90</v>
      </c>
      <c r="J120" s="360"/>
      <c r="K120" s="189"/>
      <c r="L120" s="189"/>
      <c r="M120" s="384"/>
    </row>
    <row r="121" spans="1:13" ht="13.5" customHeight="1" thickBot="1" x14ac:dyDescent="0.25">
      <c r="A121" s="205"/>
      <c r="B121" s="1027" t="s">
        <v>1096</v>
      </c>
      <c r="C121" s="828" t="s">
        <v>1118</v>
      </c>
      <c r="D121" s="826">
        <v>968</v>
      </c>
      <c r="E121" s="826">
        <v>113</v>
      </c>
      <c r="F121" s="826" t="s">
        <v>1143</v>
      </c>
      <c r="G121" s="826">
        <v>240</v>
      </c>
      <c r="H121" s="1243"/>
      <c r="I121" s="827">
        <f>Бюд.р.!H268</f>
        <v>90</v>
      </c>
      <c r="J121" s="360"/>
      <c r="K121" s="189"/>
      <c r="L121" s="189"/>
      <c r="M121" s="384"/>
    </row>
    <row r="122" spans="1:13" ht="30.75" thickBot="1" x14ac:dyDescent="0.25">
      <c r="A122" s="205"/>
      <c r="B122" s="978" t="s">
        <v>739</v>
      </c>
      <c r="C122" s="1120" t="s">
        <v>281</v>
      </c>
      <c r="D122" s="979" t="s">
        <v>696</v>
      </c>
      <c r="E122" s="980" t="s">
        <v>523</v>
      </c>
      <c r="F122" s="980"/>
      <c r="G122" s="1148"/>
      <c r="H122" s="1258"/>
      <c r="I122" s="1244" t="e">
        <f>I123+I149</f>
        <v>#REF!</v>
      </c>
      <c r="J122" s="365">
        <f>J123</f>
        <v>37.5</v>
      </c>
      <c r="K122" s="349">
        <f>K123</f>
        <v>313.60000000000002</v>
      </c>
      <c r="L122" s="349">
        <f>L123</f>
        <v>202</v>
      </c>
      <c r="M122" s="388">
        <f>M123</f>
        <v>58</v>
      </c>
    </row>
    <row r="123" spans="1:13" ht="46.5" customHeight="1" x14ac:dyDescent="0.2">
      <c r="A123" s="205"/>
      <c r="B123" s="1083" t="s">
        <v>350</v>
      </c>
      <c r="C123" s="1082" t="s">
        <v>1052</v>
      </c>
      <c r="D123" s="1087" t="s">
        <v>696</v>
      </c>
      <c r="E123" s="1088" t="s">
        <v>462</v>
      </c>
      <c r="F123" s="1096"/>
      <c r="G123" s="1094"/>
      <c r="H123" s="1259"/>
      <c r="I123" s="1091" t="e">
        <f>I134+I141+I143</f>
        <v>#REF!</v>
      </c>
      <c r="J123" s="364">
        <f>J141+J143</f>
        <v>37.5</v>
      </c>
      <c r="K123" s="347">
        <f>K141+K143</f>
        <v>313.60000000000002</v>
      </c>
      <c r="L123" s="347">
        <f>L141+L143</f>
        <v>202</v>
      </c>
      <c r="M123" s="387">
        <f>M141+M143</f>
        <v>58</v>
      </c>
    </row>
    <row r="124" spans="1:13" hidden="1" x14ac:dyDescent="0.2">
      <c r="A124" s="205"/>
      <c r="B124" s="397"/>
      <c r="C124" s="899" t="s">
        <v>294</v>
      </c>
      <c r="D124" s="788"/>
      <c r="E124" s="32" t="s">
        <v>493</v>
      </c>
      <c r="F124" s="32" t="s">
        <v>940</v>
      </c>
      <c r="G124" s="785" t="s">
        <v>921</v>
      </c>
      <c r="H124" s="843" t="s">
        <v>295</v>
      </c>
      <c r="I124" s="341"/>
      <c r="J124" s="361"/>
      <c r="K124" s="237"/>
      <c r="L124" s="237"/>
      <c r="M124" s="350"/>
    </row>
    <row r="125" spans="1:13" hidden="1" x14ac:dyDescent="0.2">
      <c r="A125" s="205"/>
      <c r="B125" s="397"/>
      <c r="C125" s="901" t="s">
        <v>314</v>
      </c>
      <c r="D125" s="788"/>
      <c r="E125" s="6" t="s">
        <v>493</v>
      </c>
      <c r="F125" s="6" t="s">
        <v>940</v>
      </c>
      <c r="G125" s="789" t="s">
        <v>921</v>
      </c>
      <c r="H125" s="845" t="s">
        <v>505</v>
      </c>
      <c r="I125" s="341"/>
      <c r="J125" s="361"/>
      <c r="K125" s="237"/>
      <c r="L125" s="237"/>
      <c r="M125" s="350"/>
    </row>
    <row r="126" spans="1:13" hidden="1" x14ac:dyDescent="0.2">
      <c r="A126" s="205"/>
      <c r="B126" s="397"/>
      <c r="C126" s="908" t="s">
        <v>135</v>
      </c>
      <c r="D126" s="788"/>
      <c r="E126" s="6" t="s">
        <v>493</v>
      </c>
      <c r="F126" s="6" t="s">
        <v>940</v>
      </c>
      <c r="G126" s="789" t="s">
        <v>921</v>
      </c>
      <c r="H126" s="845" t="s">
        <v>919</v>
      </c>
      <c r="I126" s="341"/>
      <c r="J126" s="361"/>
      <c r="K126" s="237"/>
      <c r="L126" s="237"/>
      <c r="M126" s="350"/>
    </row>
    <row r="127" spans="1:13" ht="27.75" hidden="1" customHeight="1" thickBot="1" x14ac:dyDescent="0.25">
      <c r="A127" s="193" t="s">
        <v>902</v>
      </c>
      <c r="B127" s="394"/>
      <c r="C127" s="906" t="s">
        <v>860</v>
      </c>
      <c r="D127" s="781"/>
      <c r="E127" s="11" t="s">
        <v>493</v>
      </c>
      <c r="F127" s="11" t="s">
        <v>644</v>
      </c>
      <c r="G127" s="782"/>
      <c r="H127" s="841"/>
      <c r="I127" s="341"/>
      <c r="J127" s="361"/>
      <c r="K127" s="237"/>
      <c r="L127" s="237"/>
      <c r="M127" s="350"/>
    </row>
    <row r="128" spans="1:13" hidden="1" x14ac:dyDescent="0.2">
      <c r="A128" s="194" t="s">
        <v>903</v>
      </c>
      <c r="B128" s="394"/>
      <c r="C128" s="899" t="s">
        <v>180</v>
      </c>
      <c r="D128" s="793"/>
      <c r="E128" s="184" t="s">
        <v>493</v>
      </c>
      <c r="F128" s="184" t="s">
        <v>644</v>
      </c>
      <c r="G128" s="792" t="s">
        <v>921</v>
      </c>
      <c r="H128" s="853"/>
      <c r="I128" s="341"/>
      <c r="J128" s="361"/>
      <c r="K128" s="237"/>
      <c r="L128" s="237"/>
      <c r="M128" s="350"/>
    </row>
    <row r="129" spans="1:16" hidden="1" x14ac:dyDescent="0.2">
      <c r="A129" s="197" t="s">
        <v>861</v>
      </c>
      <c r="B129" s="13"/>
      <c r="C129" s="899" t="s">
        <v>294</v>
      </c>
      <c r="D129" s="797"/>
      <c r="E129" s="32" t="s">
        <v>493</v>
      </c>
      <c r="F129" s="32" t="s">
        <v>644</v>
      </c>
      <c r="G129" s="785" t="s">
        <v>921</v>
      </c>
      <c r="H129" s="843" t="s">
        <v>295</v>
      </c>
      <c r="I129" s="341"/>
      <c r="J129" s="361"/>
      <c r="K129" s="237"/>
      <c r="L129" s="237"/>
      <c r="M129" s="350"/>
    </row>
    <row r="130" spans="1:16" hidden="1" x14ac:dyDescent="0.2">
      <c r="A130" s="198" t="s">
        <v>862</v>
      </c>
      <c r="B130" s="7"/>
      <c r="C130" s="901" t="s">
        <v>314</v>
      </c>
      <c r="D130" s="786"/>
      <c r="E130" s="6" t="s">
        <v>493</v>
      </c>
      <c r="F130" s="6" t="s">
        <v>644</v>
      </c>
      <c r="G130" s="789" t="s">
        <v>921</v>
      </c>
      <c r="H130" s="845" t="s">
        <v>505</v>
      </c>
      <c r="I130" s="341"/>
      <c r="J130" s="361"/>
      <c r="K130" s="237"/>
      <c r="L130" s="237"/>
      <c r="M130" s="350"/>
    </row>
    <row r="131" spans="1:16" hidden="1" x14ac:dyDescent="0.2">
      <c r="A131" s="203" t="s">
        <v>215</v>
      </c>
      <c r="B131" s="19"/>
      <c r="C131" s="908" t="s">
        <v>135</v>
      </c>
      <c r="D131" s="786"/>
      <c r="E131" s="6" t="s">
        <v>493</v>
      </c>
      <c r="F131" s="6" t="s">
        <v>644</v>
      </c>
      <c r="G131" s="789" t="s">
        <v>921</v>
      </c>
      <c r="H131" s="845" t="s">
        <v>919</v>
      </c>
      <c r="I131" s="341"/>
      <c r="J131" s="361"/>
      <c r="K131" s="237"/>
      <c r="L131" s="237"/>
      <c r="M131" s="350"/>
    </row>
    <row r="132" spans="1:16" ht="48" hidden="1" thickBot="1" x14ac:dyDescent="0.3">
      <c r="A132" s="191" t="s">
        <v>739</v>
      </c>
      <c r="B132" s="398"/>
      <c r="C132" s="912" t="s">
        <v>281</v>
      </c>
      <c r="D132" s="802"/>
      <c r="E132" s="224" t="s">
        <v>311</v>
      </c>
      <c r="F132" s="224"/>
      <c r="G132" s="803"/>
      <c r="H132" s="854"/>
      <c r="I132" s="341"/>
      <c r="J132" s="361"/>
      <c r="K132" s="237"/>
      <c r="L132" s="237"/>
      <c r="M132" s="350"/>
    </row>
    <row r="133" spans="1:16" ht="40.5" hidden="1" customHeight="1" thickBot="1" x14ac:dyDescent="0.25">
      <c r="A133" s="192" t="s">
        <v>123</v>
      </c>
      <c r="B133" s="394"/>
      <c r="C133" s="913" t="s">
        <v>889</v>
      </c>
      <c r="D133" s="804"/>
      <c r="E133" s="185" t="s">
        <v>319</v>
      </c>
      <c r="F133" s="185"/>
      <c r="G133" s="791"/>
      <c r="H133" s="846"/>
      <c r="I133" s="341"/>
      <c r="J133" s="361"/>
      <c r="K133" s="237"/>
      <c r="L133" s="237"/>
      <c r="M133" s="350"/>
      <c r="N133" s="154"/>
      <c r="O133" s="154"/>
      <c r="P133" s="154"/>
    </row>
    <row r="134" spans="1:16" ht="16.5" customHeight="1" x14ac:dyDescent="0.2">
      <c r="A134" s="192"/>
      <c r="B134" s="25" t="s">
        <v>806</v>
      </c>
      <c r="C134" s="487" t="s">
        <v>1163</v>
      </c>
      <c r="D134" s="159">
        <v>968</v>
      </c>
      <c r="E134" s="159">
        <v>309</v>
      </c>
      <c r="F134" s="159" t="s">
        <v>810</v>
      </c>
      <c r="G134" s="782"/>
      <c r="H134" s="841"/>
      <c r="I134" s="371" t="e">
        <f>I135+I137+I139</f>
        <v>#REF!</v>
      </c>
      <c r="J134" s="361"/>
      <c r="K134" s="237"/>
      <c r="L134" s="237"/>
      <c r="M134" s="350"/>
      <c r="N134" s="154"/>
      <c r="O134" s="154"/>
      <c r="P134" s="154"/>
    </row>
    <row r="135" spans="1:16" ht="58.5" customHeight="1" x14ac:dyDescent="0.2">
      <c r="A135" s="192"/>
      <c r="B135" s="13" t="s">
        <v>110</v>
      </c>
      <c r="C135" s="1294" t="s">
        <v>1149</v>
      </c>
      <c r="D135" s="887">
        <v>968</v>
      </c>
      <c r="E135" s="887">
        <v>309</v>
      </c>
      <c r="F135" s="887" t="str">
        <f>F136</f>
        <v>219 03 00</v>
      </c>
      <c r="G135" s="887"/>
      <c r="H135" s="848"/>
      <c r="I135" s="833">
        <f>I136</f>
        <v>151.351</v>
      </c>
      <c r="J135" s="361"/>
      <c r="K135" s="237"/>
      <c r="L135" s="237"/>
      <c r="M135" s="350"/>
      <c r="N135" s="154"/>
      <c r="O135" s="154"/>
      <c r="P135" s="154"/>
    </row>
    <row r="136" spans="1:16" ht="13.5" customHeight="1" x14ac:dyDescent="0.2">
      <c r="A136" s="192"/>
      <c r="B136" s="7" t="s">
        <v>157</v>
      </c>
      <c r="C136" s="828" t="s">
        <v>1118</v>
      </c>
      <c r="D136" s="826">
        <v>968</v>
      </c>
      <c r="E136" s="826">
        <v>309</v>
      </c>
      <c r="F136" s="826" t="s">
        <v>1150</v>
      </c>
      <c r="G136" s="826">
        <v>240</v>
      </c>
      <c r="H136" s="851"/>
      <c r="I136" s="827">
        <f>Бюд.р.!H283</f>
        <v>151.351</v>
      </c>
      <c r="J136" s="361"/>
      <c r="K136" s="237"/>
      <c r="L136" s="237"/>
      <c r="M136" s="350"/>
      <c r="N136" s="154"/>
      <c r="O136" s="154"/>
      <c r="P136" s="154"/>
    </row>
    <row r="137" spans="1:16" ht="38.25" customHeight="1" x14ac:dyDescent="0.2">
      <c r="A137" s="192"/>
      <c r="B137" s="13" t="s">
        <v>240</v>
      </c>
      <c r="C137" s="490" t="s">
        <v>1151</v>
      </c>
      <c r="D137" s="887">
        <v>968</v>
      </c>
      <c r="E137" s="887">
        <v>309</v>
      </c>
      <c r="F137" s="887" t="str">
        <f>F138</f>
        <v>219 01 00</v>
      </c>
      <c r="G137" s="887"/>
      <c r="H137" s="848"/>
      <c r="I137" s="833" t="e">
        <f>I138</f>
        <v>#REF!</v>
      </c>
      <c r="J137" s="361"/>
      <c r="K137" s="237"/>
      <c r="L137" s="237"/>
      <c r="M137" s="350"/>
      <c r="N137" s="154"/>
      <c r="O137" s="154"/>
      <c r="P137" s="154"/>
    </row>
    <row r="138" spans="1:16" ht="12" customHeight="1" x14ac:dyDescent="0.2">
      <c r="A138" s="192"/>
      <c r="B138" s="7" t="s">
        <v>158</v>
      </c>
      <c r="C138" s="828" t="s">
        <v>1118</v>
      </c>
      <c r="D138" s="826">
        <v>968</v>
      </c>
      <c r="E138" s="826">
        <v>309</v>
      </c>
      <c r="F138" s="826" t="s">
        <v>1152</v>
      </c>
      <c r="G138" s="826">
        <v>240</v>
      </c>
      <c r="H138" s="851"/>
      <c r="I138" s="827" t="e">
        <f>Бюд.р.!#REF!</f>
        <v>#REF!</v>
      </c>
      <c r="J138" s="361"/>
      <c r="K138" s="237"/>
      <c r="L138" s="237"/>
      <c r="M138" s="350"/>
      <c r="N138" s="154"/>
      <c r="O138" s="154"/>
      <c r="P138" s="154"/>
    </row>
    <row r="139" spans="1:16" ht="45" hidden="1" customHeight="1" x14ac:dyDescent="0.2">
      <c r="A139" s="192"/>
      <c r="B139" s="13" t="s">
        <v>159</v>
      </c>
      <c r="C139" s="914" t="s">
        <v>36</v>
      </c>
      <c r="D139" s="887">
        <v>968</v>
      </c>
      <c r="E139" s="887">
        <v>309</v>
      </c>
      <c r="F139" s="887" t="s">
        <v>13</v>
      </c>
      <c r="G139" s="887"/>
      <c r="H139" s="848"/>
      <c r="I139" s="833">
        <f>I140</f>
        <v>0</v>
      </c>
      <c r="J139" s="361"/>
      <c r="K139" s="237"/>
      <c r="L139" s="237"/>
      <c r="M139" s="350"/>
      <c r="N139" s="154"/>
      <c r="O139" s="154"/>
      <c r="P139" s="154"/>
    </row>
    <row r="140" spans="1:16" ht="12.75" hidden="1" customHeight="1" x14ac:dyDescent="0.2">
      <c r="A140" s="192"/>
      <c r="B140" s="7" t="s">
        <v>164</v>
      </c>
      <c r="C140" s="910" t="s">
        <v>469</v>
      </c>
      <c r="D140" s="826">
        <v>968</v>
      </c>
      <c r="E140" s="826">
        <v>309</v>
      </c>
      <c r="F140" s="826" t="s">
        <v>13</v>
      </c>
      <c r="G140" s="826">
        <v>500</v>
      </c>
      <c r="H140" s="851"/>
      <c r="I140" s="827">
        <f>Бюд.р.!H292</f>
        <v>0</v>
      </c>
      <c r="J140" s="361"/>
      <c r="K140" s="237"/>
      <c r="L140" s="237"/>
      <c r="M140" s="350"/>
      <c r="N140" s="154"/>
      <c r="O140" s="154"/>
      <c r="P140" s="154"/>
    </row>
    <row r="141" spans="1:16" ht="21.75" hidden="1" customHeight="1" x14ac:dyDescent="0.2">
      <c r="A141" s="193" t="s">
        <v>299</v>
      </c>
      <c r="B141" s="25"/>
      <c r="C141" s="914"/>
      <c r="D141" s="463"/>
      <c r="E141" s="463"/>
      <c r="F141" s="463"/>
      <c r="G141" s="742"/>
      <c r="H141" s="853"/>
      <c r="I141" s="766"/>
      <c r="J141" s="359">
        <f>J142</f>
        <v>37.5</v>
      </c>
      <c r="K141" s="186">
        <f>K142</f>
        <v>288.60000000000002</v>
      </c>
      <c r="L141" s="186">
        <f>L142</f>
        <v>202</v>
      </c>
      <c r="M141" s="383">
        <f>M142</f>
        <v>33</v>
      </c>
    </row>
    <row r="142" spans="1:16" ht="13.5" hidden="1" customHeight="1" x14ac:dyDescent="0.2">
      <c r="A142" s="194" t="s">
        <v>212</v>
      </c>
      <c r="B142" s="7"/>
      <c r="C142" s="910"/>
      <c r="D142" s="826"/>
      <c r="E142" s="826"/>
      <c r="F142" s="826"/>
      <c r="G142" s="826"/>
      <c r="H142" s="851"/>
      <c r="I142" s="827"/>
      <c r="J142" s="360">
        <v>37.5</v>
      </c>
      <c r="K142" s="189">
        <v>288.60000000000002</v>
      </c>
      <c r="L142" s="189">
        <v>202</v>
      </c>
      <c r="M142" s="384">
        <v>33</v>
      </c>
    </row>
    <row r="143" spans="1:16" ht="45" x14ac:dyDescent="0.2">
      <c r="A143" s="193" t="s">
        <v>287</v>
      </c>
      <c r="B143" s="25" t="s">
        <v>891</v>
      </c>
      <c r="C143" s="914" t="s">
        <v>1148</v>
      </c>
      <c r="D143" s="463">
        <v>968</v>
      </c>
      <c r="E143" s="463">
        <v>309</v>
      </c>
      <c r="F143" s="463" t="str">
        <f>F144</f>
        <v>795 05 00</v>
      </c>
      <c r="G143" s="463"/>
      <c r="H143" s="853"/>
      <c r="I143" s="766">
        <f>I144</f>
        <v>125</v>
      </c>
      <c r="J143" s="359"/>
      <c r="K143" s="186">
        <f>K144</f>
        <v>25</v>
      </c>
      <c r="L143" s="186"/>
      <c r="M143" s="383">
        <f>M144</f>
        <v>25</v>
      </c>
    </row>
    <row r="144" spans="1:16" ht="13.5" customHeight="1" thickBot="1" x14ac:dyDescent="0.25">
      <c r="A144" s="194" t="s">
        <v>812</v>
      </c>
      <c r="B144" s="7" t="s">
        <v>10</v>
      </c>
      <c r="C144" s="910" t="s">
        <v>469</v>
      </c>
      <c r="D144" s="826">
        <v>968</v>
      </c>
      <c r="E144" s="826">
        <v>309</v>
      </c>
      <c r="F144" s="826" t="s">
        <v>15</v>
      </c>
      <c r="G144" s="826">
        <v>240</v>
      </c>
      <c r="H144" s="851"/>
      <c r="I144" s="1166">
        <f>Бюд.р.!H304</f>
        <v>125</v>
      </c>
      <c r="J144" s="360"/>
      <c r="K144" s="189">
        <v>25</v>
      </c>
      <c r="L144" s="189"/>
      <c r="M144" s="384">
        <v>25</v>
      </c>
    </row>
    <row r="145" spans="1:13" ht="15.75" hidden="1" x14ac:dyDescent="0.2">
      <c r="A145" s="206" t="s">
        <v>813</v>
      </c>
      <c r="B145" s="398"/>
      <c r="C145" s="899" t="s">
        <v>294</v>
      </c>
      <c r="D145" s="797"/>
      <c r="E145" s="32" t="s">
        <v>319</v>
      </c>
      <c r="F145" s="32" t="s">
        <v>810</v>
      </c>
      <c r="G145" s="785" t="s">
        <v>313</v>
      </c>
      <c r="H145" s="409" t="s">
        <v>295</v>
      </c>
      <c r="I145" s="366"/>
      <c r="J145" s="361"/>
      <c r="K145" s="237"/>
      <c r="L145" s="237"/>
      <c r="M145" s="350"/>
    </row>
    <row r="146" spans="1:13" hidden="1" x14ac:dyDescent="0.2">
      <c r="A146" s="202" t="s">
        <v>783</v>
      </c>
      <c r="B146" s="394"/>
      <c r="C146" s="902" t="s">
        <v>278</v>
      </c>
      <c r="D146" s="788"/>
      <c r="E146" s="6" t="s">
        <v>319</v>
      </c>
      <c r="F146" s="6" t="s">
        <v>810</v>
      </c>
      <c r="G146" s="789" t="s">
        <v>313</v>
      </c>
      <c r="H146" s="27" t="s">
        <v>318</v>
      </c>
      <c r="I146" s="341"/>
      <c r="J146" s="361"/>
      <c r="K146" s="237"/>
      <c r="L146" s="237"/>
      <c r="M146" s="350"/>
    </row>
    <row r="147" spans="1:13" ht="32.25" hidden="1" thickBot="1" x14ac:dyDescent="0.3">
      <c r="A147" s="191" t="s">
        <v>740</v>
      </c>
      <c r="B147" s="25" t="s">
        <v>166</v>
      </c>
      <c r="C147" s="912" t="s">
        <v>283</v>
      </c>
      <c r="D147" s="802"/>
      <c r="E147" s="224" t="s">
        <v>920</v>
      </c>
      <c r="F147" s="224"/>
      <c r="G147" s="803"/>
      <c r="H147" s="410"/>
      <c r="I147" s="341"/>
      <c r="J147" s="361"/>
      <c r="K147" s="237"/>
      <c r="L147" s="237"/>
      <c r="M147" s="350"/>
    </row>
    <row r="148" spans="1:13" hidden="1" x14ac:dyDescent="0.2">
      <c r="A148" s="192" t="s">
        <v>123</v>
      </c>
      <c r="B148" s="7" t="s">
        <v>167</v>
      </c>
      <c r="C148" s="903" t="s">
        <v>343</v>
      </c>
      <c r="D148" s="790"/>
      <c r="E148" s="183" t="s">
        <v>303</v>
      </c>
      <c r="F148" s="183"/>
      <c r="G148" s="798"/>
      <c r="H148" s="403"/>
      <c r="I148" s="341"/>
      <c r="J148" s="361"/>
      <c r="K148" s="237"/>
      <c r="L148" s="237"/>
      <c r="M148" s="350"/>
    </row>
    <row r="149" spans="1:13" ht="15" hidden="1" x14ac:dyDescent="0.2">
      <c r="A149" s="192"/>
      <c r="B149" s="1020"/>
      <c r="C149" s="1021"/>
      <c r="D149" s="1022"/>
      <c r="E149" s="1022"/>
      <c r="F149" s="1023"/>
      <c r="G149" s="1024"/>
      <c r="H149" s="1025"/>
      <c r="I149" s="1026"/>
      <c r="J149" s="361"/>
      <c r="K149" s="237"/>
      <c r="L149" s="237"/>
      <c r="M149" s="350"/>
    </row>
    <row r="150" spans="1:13" hidden="1" x14ac:dyDescent="0.2">
      <c r="A150" s="192"/>
      <c r="B150" s="394"/>
      <c r="C150" s="953"/>
      <c r="D150" s="954"/>
      <c r="E150" s="954"/>
      <c r="F150" s="954"/>
      <c r="G150" s="954"/>
      <c r="H150" s="955"/>
      <c r="I150" s="956"/>
      <c r="J150" s="361"/>
      <c r="K150" s="237"/>
      <c r="L150" s="237"/>
      <c r="M150" s="350"/>
    </row>
    <row r="151" spans="1:13" ht="13.5" hidden="1" thickBot="1" x14ac:dyDescent="0.25">
      <c r="A151" s="192"/>
      <c r="B151" s="1027"/>
      <c r="C151" s="1028"/>
      <c r="D151" s="976"/>
      <c r="E151" s="976"/>
      <c r="F151" s="976"/>
      <c r="G151" s="976"/>
      <c r="H151" s="1029"/>
      <c r="I151" s="921"/>
      <c r="J151" s="361"/>
      <c r="K151" s="237"/>
      <c r="L151" s="237"/>
      <c r="M151" s="350"/>
    </row>
    <row r="152" spans="1:13" ht="15.75" thickBot="1" x14ac:dyDescent="0.25">
      <c r="A152" s="192"/>
      <c r="B152" s="1136" t="s">
        <v>740</v>
      </c>
      <c r="C152" s="1115" t="s">
        <v>1014</v>
      </c>
      <c r="D152" s="1116">
        <v>968</v>
      </c>
      <c r="E152" s="1116">
        <v>400</v>
      </c>
      <c r="F152" s="1116"/>
      <c r="G152" s="1116"/>
      <c r="H152" s="1117"/>
      <c r="I152" s="1118">
        <f>I153+I156</f>
        <v>186.5</v>
      </c>
      <c r="J152" s="361"/>
      <c r="K152" s="237"/>
      <c r="L152" s="237"/>
      <c r="M152" s="350"/>
    </row>
    <row r="153" spans="1:13" ht="15" x14ac:dyDescent="0.2">
      <c r="A153" s="192"/>
      <c r="B153" s="1083" t="s">
        <v>351</v>
      </c>
      <c r="C153" s="1237" t="s">
        <v>1064</v>
      </c>
      <c r="D153" s="1084">
        <v>968</v>
      </c>
      <c r="E153" s="1084">
        <v>401</v>
      </c>
      <c r="F153" s="1084"/>
      <c r="G153" s="1084"/>
      <c r="H153" s="1085"/>
      <c r="I153" s="1086">
        <f>I154</f>
        <v>166.5</v>
      </c>
      <c r="J153" s="361"/>
      <c r="K153" s="237"/>
      <c r="L153" s="237"/>
      <c r="M153" s="350"/>
    </row>
    <row r="154" spans="1:13" ht="27" customHeight="1" x14ac:dyDescent="0.2">
      <c r="A154" s="192"/>
      <c r="B154" s="394" t="s">
        <v>118</v>
      </c>
      <c r="C154" s="490" t="s">
        <v>1142</v>
      </c>
      <c r="D154" s="463">
        <v>968</v>
      </c>
      <c r="E154" s="463">
        <v>401</v>
      </c>
      <c r="F154" s="463" t="s">
        <v>1065</v>
      </c>
      <c r="G154" s="463"/>
      <c r="H154" s="405"/>
      <c r="I154" s="833">
        <f>I155</f>
        <v>166.5</v>
      </c>
      <c r="J154" s="361"/>
      <c r="K154" s="237"/>
      <c r="L154" s="237"/>
      <c r="M154" s="350"/>
    </row>
    <row r="155" spans="1:13" ht="24" customHeight="1" x14ac:dyDescent="0.2">
      <c r="A155" s="192"/>
      <c r="B155" s="1027" t="s">
        <v>85</v>
      </c>
      <c r="C155" s="828" t="s">
        <v>1120</v>
      </c>
      <c r="D155" s="976">
        <v>968</v>
      </c>
      <c r="E155" s="976">
        <v>401</v>
      </c>
      <c r="F155" s="976" t="s">
        <v>1065</v>
      </c>
      <c r="G155" s="976">
        <v>810</v>
      </c>
      <c r="H155" s="1029"/>
      <c r="I155" s="921">
        <f>Бюд.р.!H314</f>
        <v>166.5</v>
      </c>
      <c r="J155" s="361"/>
      <c r="K155" s="237"/>
      <c r="L155" s="237"/>
      <c r="M155" s="350"/>
    </row>
    <row r="156" spans="1:13" ht="30" x14ac:dyDescent="0.2">
      <c r="A156" s="192"/>
      <c r="B156" s="1238" t="s">
        <v>893</v>
      </c>
      <c r="C156" s="1239" t="s">
        <v>1015</v>
      </c>
      <c r="D156" s="1098">
        <v>968</v>
      </c>
      <c r="E156" s="1098">
        <v>412</v>
      </c>
      <c r="F156" s="1098"/>
      <c r="G156" s="1098"/>
      <c r="H156" s="1240"/>
      <c r="I156" s="1241">
        <f>I157</f>
        <v>20</v>
      </c>
      <c r="J156" s="361"/>
      <c r="K156" s="237"/>
      <c r="L156" s="237"/>
      <c r="M156" s="350"/>
    </row>
    <row r="157" spans="1:13" ht="26.25" customHeight="1" x14ac:dyDescent="0.2">
      <c r="A157" s="192"/>
      <c r="B157" s="394" t="s">
        <v>111</v>
      </c>
      <c r="C157" s="490" t="s">
        <v>1017</v>
      </c>
      <c r="D157" s="463">
        <v>968</v>
      </c>
      <c r="E157" s="463">
        <v>412</v>
      </c>
      <c r="F157" s="463" t="s">
        <v>1016</v>
      </c>
      <c r="G157" s="463"/>
      <c r="H157" s="405"/>
      <c r="I157" s="833">
        <f>I158</f>
        <v>20</v>
      </c>
      <c r="J157" s="361"/>
      <c r="K157" s="237"/>
      <c r="L157" s="237"/>
      <c r="M157" s="350"/>
    </row>
    <row r="158" spans="1:13" ht="13.5" thickBot="1" x14ac:dyDescent="0.25">
      <c r="A158" s="192"/>
      <c r="B158" s="1027" t="s">
        <v>1066</v>
      </c>
      <c r="C158" s="828" t="s">
        <v>1118</v>
      </c>
      <c r="D158" s="976">
        <v>968</v>
      </c>
      <c r="E158" s="976">
        <v>412</v>
      </c>
      <c r="F158" s="976" t="s">
        <v>1016</v>
      </c>
      <c r="G158" s="976">
        <v>240</v>
      </c>
      <c r="H158" s="1029"/>
      <c r="I158" s="921">
        <f>Бюд.р.!H323</f>
        <v>20</v>
      </c>
      <c r="J158" s="361"/>
      <c r="K158" s="237"/>
      <c r="L158" s="237"/>
      <c r="M158" s="350"/>
    </row>
    <row r="159" spans="1:13" ht="15.75" thickBot="1" x14ac:dyDescent="0.25">
      <c r="A159" s="192"/>
      <c r="B159" s="1119" t="s">
        <v>741</v>
      </c>
      <c r="C159" s="1120" t="s">
        <v>283</v>
      </c>
      <c r="D159" s="1121" t="s">
        <v>696</v>
      </c>
      <c r="E159" s="1122" t="s">
        <v>448</v>
      </c>
      <c r="F159" s="1122"/>
      <c r="G159" s="1123"/>
      <c r="H159" s="1124"/>
      <c r="I159" s="1125">
        <f>I160</f>
        <v>50322.508000000002</v>
      </c>
      <c r="J159" s="365" t="e">
        <f>J160</f>
        <v>#REF!</v>
      </c>
      <c r="K159" s="349" t="e">
        <f>K160</f>
        <v>#REF!</v>
      </c>
      <c r="L159" s="349" t="e">
        <f>L160</f>
        <v>#REF!</v>
      </c>
      <c r="M159" s="388" t="e">
        <f>M160</f>
        <v>#REF!</v>
      </c>
    </row>
    <row r="160" spans="1:13" ht="15" x14ac:dyDescent="0.2">
      <c r="A160" s="192"/>
      <c r="B160" s="1083" t="s">
        <v>425</v>
      </c>
      <c r="C160" s="1082" t="s">
        <v>449</v>
      </c>
      <c r="D160" s="1087" t="s">
        <v>696</v>
      </c>
      <c r="E160" s="1088" t="s">
        <v>450</v>
      </c>
      <c r="F160" s="1088"/>
      <c r="G160" s="1089"/>
      <c r="H160" s="1090"/>
      <c r="I160" s="1091">
        <f>I161+I177+I184+I194</f>
        <v>50322.508000000002</v>
      </c>
      <c r="J160" s="358" t="e">
        <f>J161+J177+J184+J194</f>
        <v>#REF!</v>
      </c>
      <c r="K160" s="152" t="e">
        <f>K161+K177+K184+K194</f>
        <v>#REF!</v>
      </c>
      <c r="L160" s="152" t="e">
        <f>L161+L177+L184+L194</f>
        <v>#REF!</v>
      </c>
      <c r="M160" s="382" t="e">
        <f>M161+M177+M184+M194</f>
        <v>#REF!</v>
      </c>
    </row>
    <row r="161" spans="1:13" ht="24.75" customHeight="1" x14ac:dyDescent="0.2">
      <c r="A161" s="192"/>
      <c r="B161" s="23" t="s">
        <v>112</v>
      </c>
      <c r="C161" s="915" t="s">
        <v>1164</v>
      </c>
      <c r="D161" s="889" t="s">
        <v>696</v>
      </c>
      <c r="E161" s="890" t="s">
        <v>450</v>
      </c>
      <c r="F161" s="890" t="s">
        <v>451</v>
      </c>
      <c r="G161" s="891"/>
      <c r="H161" s="892"/>
      <c r="I161" s="893">
        <f>I162+I164+I166+I169</f>
        <v>36954.913</v>
      </c>
      <c r="J161" s="153" t="e">
        <f>J162+#REF!+#REF!+#REF!+#REF!</f>
        <v>#REF!</v>
      </c>
      <c r="K161" s="151" t="e">
        <f>K162+#REF!+#REF!+#REF!+#REF!</f>
        <v>#REF!</v>
      </c>
      <c r="L161" s="151" t="e">
        <f>L162+#REF!+#REF!+#REF!+#REF!</f>
        <v>#REF!</v>
      </c>
      <c r="M161" s="351" t="e">
        <f>M162+#REF!+#REF!+#REF!+#REF!</f>
        <v>#REF!</v>
      </c>
    </row>
    <row r="162" spans="1:13" ht="34.5" customHeight="1" x14ac:dyDescent="0.2">
      <c r="A162" s="193" t="s">
        <v>299</v>
      </c>
      <c r="B162" s="25" t="s">
        <v>113</v>
      </c>
      <c r="C162" s="916" t="s">
        <v>452</v>
      </c>
      <c r="D162" s="793" t="s">
        <v>696</v>
      </c>
      <c r="E162" s="184" t="s">
        <v>450</v>
      </c>
      <c r="F162" s="184" t="s">
        <v>453</v>
      </c>
      <c r="G162" s="792"/>
      <c r="H162" s="407"/>
      <c r="I162" s="766">
        <f>I163</f>
        <v>32309.071999999996</v>
      </c>
      <c r="J162" s="359">
        <f>SUM(J163:J165)</f>
        <v>0</v>
      </c>
      <c r="K162" s="186">
        <f>SUM(K163:K165)</f>
        <v>1764.8</v>
      </c>
      <c r="L162" s="186">
        <f>SUM(L163:L165)</f>
        <v>4118</v>
      </c>
      <c r="M162" s="383">
        <f>SUM(M163:M165)</f>
        <v>0</v>
      </c>
    </row>
    <row r="163" spans="1:13" x14ac:dyDescent="0.2">
      <c r="A163" s="194" t="s">
        <v>212</v>
      </c>
      <c r="B163" s="7" t="s">
        <v>1067</v>
      </c>
      <c r="C163" s="828" t="s">
        <v>1118</v>
      </c>
      <c r="D163" s="783" t="s">
        <v>696</v>
      </c>
      <c r="E163" s="182" t="s">
        <v>450</v>
      </c>
      <c r="F163" s="182" t="s">
        <v>453</v>
      </c>
      <c r="G163" s="784" t="s">
        <v>495</v>
      </c>
      <c r="H163" s="405"/>
      <c r="I163" s="370">
        <f>Бюд.р.!H331</f>
        <v>32309.071999999996</v>
      </c>
      <c r="J163" s="360"/>
      <c r="K163" s="189">
        <v>1764.8</v>
      </c>
      <c r="L163" s="189">
        <v>4118</v>
      </c>
      <c r="M163" s="384"/>
    </row>
    <row r="164" spans="1:13" ht="22.5" x14ac:dyDescent="0.2">
      <c r="A164" s="207" t="s">
        <v>213</v>
      </c>
      <c r="B164" s="25" t="s">
        <v>1068</v>
      </c>
      <c r="C164" s="1076" t="s">
        <v>1165</v>
      </c>
      <c r="D164" s="781" t="s">
        <v>696</v>
      </c>
      <c r="E164" s="11" t="s">
        <v>450</v>
      </c>
      <c r="F164" s="11" t="s">
        <v>454</v>
      </c>
      <c r="G164" s="782"/>
      <c r="H164" s="409"/>
      <c r="I164" s="833">
        <f>I165</f>
        <v>468.53700000000003</v>
      </c>
      <c r="J164" s="361"/>
      <c r="K164" s="237"/>
      <c r="L164" s="237"/>
      <c r="M164" s="350"/>
    </row>
    <row r="165" spans="1:13" x14ac:dyDescent="0.2">
      <c r="A165" s="208" t="s">
        <v>783</v>
      </c>
      <c r="B165" s="7" t="s">
        <v>1069</v>
      </c>
      <c r="C165" s="828" t="s">
        <v>1118</v>
      </c>
      <c r="D165" s="783" t="s">
        <v>696</v>
      </c>
      <c r="E165" s="182" t="s">
        <v>450</v>
      </c>
      <c r="F165" s="182" t="s">
        <v>454</v>
      </c>
      <c r="G165" s="784" t="s">
        <v>495</v>
      </c>
      <c r="H165" s="27"/>
      <c r="I165" s="370">
        <f>Бюд.р.!H341</f>
        <v>468.53700000000003</v>
      </c>
      <c r="J165" s="361"/>
      <c r="K165" s="237"/>
      <c r="L165" s="237"/>
      <c r="M165" s="350"/>
    </row>
    <row r="166" spans="1:13" x14ac:dyDescent="0.2">
      <c r="A166" s="208"/>
      <c r="B166" s="25" t="s">
        <v>1070</v>
      </c>
      <c r="C166" s="914" t="s">
        <v>37</v>
      </c>
      <c r="D166" s="463">
        <v>968</v>
      </c>
      <c r="E166" s="463">
        <v>503</v>
      </c>
      <c r="F166" s="463" t="s">
        <v>455</v>
      </c>
      <c r="G166" s="463"/>
      <c r="H166" s="27"/>
      <c r="I166" s="833">
        <f>I167+I168</f>
        <v>2324.3319999999999</v>
      </c>
      <c r="J166" s="360"/>
      <c r="K166" s="189"/>
      <c r="L166" s="189"/>
      <c r="M166" s="384"/>
    </row>
    <row r="167" spans="1:13" x14ac:dyDescent="0.2">
      <c r="A167" s="208"/>
      <c r="B167" s="7" t="s">
        <v>1071</v>
      </c>
      <c r="C167" s="828" t="s">
        <v>1118</v>
      </c>
      <c r="D167" s="826">
        <v>968</v>
      </c>
      <c r="E167" s="826">
        <v>503</v>
      </c>
      <c r="F167" s="826" t="s">
        <v>455</v>
      </c>
      <c r="G167" s="826">
        <v>240</v>
      </c>
      <c r="H167" s="408"/>
      <c r="I167" s="827">
        <f>Бюд.р.!H346</f>
        <v>2324.3319999999999</v>
      </c>
      <c r="J167" s="360"/>
      <c r="K167" s="189"/>
      <c r="L167" s="189"/>
      <c r="M167" s="384"/>
    </row>
    <row r="168" spans="1:13" ht="33.75" hidden="1" x14ac:dyDescent="0.2">
      <c r="A168" s="208"/>
      <c r="B168" s="7" t="s">
        <v>89</v>
      </c>
      <c r="C168" s="910" t="s">
        <v>886</v>
      </c>
      <c r="D168" s="826">
        <v>968</v>
      </c>
      <c r="E168" s="826">
        <v>503</v>
      </c>
      <c r="F168" s="826" t="s">
        <v>455</v>
      </c>
      <c r="G168" s="826">
        <v>599</v>
      </c>
      <c r="H168" s="408"/>
      <c r="I168" s="827">
        <f>Бюд.р.!H350</f>
        <v>0</v>
      </c>
      <c r="J168" s="360"/>
      <c r="K168" s="189"/>
      <c r="L168" s="189"/>
      <c r="M168" s="384"/>
    </row>
    <row r="169" spans="1:13" ht="33.75" x14ac:dyDescent="0.2">
      <c r="A169" s="208"/>
      <c r="B169" s="25" t="s">
        <v>1166</v>
      </c>
      <c r="C169" s="914" t="s">
        <v>456</v>
      </c>
      <c r="D169" s="463">
        <v>968</v>
      </c>
      <c r="E169" s="463">
        <v>503</v>
      </c>
      <c r="F169" s="463" t="s">
        <v>457</v>
      </c>
      <c r="G169" s="463"/>
      <c r="H169" s="408"/>
      <c r="I169" s="833">
        <f>I170</f>
        <v>1852.972</v>
      </c>
      <c r="J169" s="360"/>
      <c r="K169" s="189"/>
      <c r="L169" s="189"/>
      <c r="M169" s="384"/>
    </row>
    <row r="170" spans="1:13" x14ac:dyDescent="0.2">
      <c r="A170" s="208"/>
      <c r="B170" s="7" t="s">
        <v>1167</v>
      </c>
      <c r="C170" s="828" t="s">
        <v>1118</v>
      </c>
      <c r="D170" s="826">
        <v>968</v>
      </c>
      <c r="E170" s="826">
        <v>503</v>
      </c>
      <c r="F170" s="826" t="s">
        <v>457</v>
      </c>
      <c r="G170" s="826">
        <v>240</v>
      </c>
      <c r="H170" s="408"/>
      <c r="I170" s="827">
        <f>Бюд.р.!H357</f>
        <v>1852.972</v>
      </c>
      <c r="J170" s="360"/>
      <c r="K170" s="189"/>
      <c r="L170" s="189"/>
      <c r="M170" s="384"/>
    </row>
    <row r="171" spans="1:13" ht="24" hidden="1" x14ac:dyDescent="0.2">
      <c r="A171" s="207" t="s">
        <v>785</v>
      </c>
      <c r="B171" s="25"/>
      <c r="C171" s="899" t="s">
        <v>294</v>
      </c>
      <c r="D171" s="797"/>
      <c r="E171" s="32" t="s">
        <v>303</v>
      </c>
      <c r="F171" s="32" t="s">
        <v>44</v>
      </c>
      <c r="G171" s="785" t="s">
        <v>302</v>
      </c>
      <c r="H171" s="409" t="s">
        <v>295</v>
      </c>
      <c r="I171" s="341"/>
      <c r="J171" s="361"/>
      <c r="K171" s="237"/>
      <c r="L171" s="237"/>
      <c r="M171" s="350"/>
    </row>
    <row r="172" spans="1:13" hidden="1" x14ac:dyDescent="0.2">
      <c r="A172" s="209" t="s">
        <v>783</v>
      </c>
      <c r="B172" s="3"/>
      <c r="C172" s="902" t="s">
        <v>278</v>
      </c>
      <c r="D172" s="788"/>
      <c r="E172" s="6" t="s">
        <v>303</v>
      </c>
      <c r="F172" s="6" t="s">
        <v>44</v>
      </c>
      <c r="G172" s="789" t="s">
        <v>302</v>
      </c>
      <c r="H172" s="27" t="s">
        <v>318</v>
      </c>
      <c r="I172" s="341"/>
      <c r="J172" s="361"/>
      <c r="K172" s="237"/>
      <c r="L172" s="237"/>
      <c r="M172" s="350"/>
    </row>
    <row r="173" spans="1:13" ht="109.5" hidden="1" customHeight="1" x14ac:dyDescent="0.2">
      <c r="A173" s="193" t="s">
        <v>786</v>
      </c>
      <c r="B173" s="394"/>
      <c r="C173" s="905" t="s">
        <v>201</v>
      </c>
      <c r="D173" s="781"/>
      <c r="E173" s="11" t="s">
        <v>303</v>
      </c>
      <c r="F173" s="11" t="s">
        <v>854</v>
      </c>
      <c r="G173" s="782"/>
      <c r="H173" s="404"/>
      <c r="I173" s="341"/>
      <c r="J173" s="361"/>
      <c r="K173" s="237"/>
      <c r="L173" s="237"/>
      <c r="M173" s="350"/>
    </row>
    <row r="174" spans="1:13" ht="22.5" hidden="1" customHeight="1" x14ac:dyDescent="0.2">
      <c r="A174" s="194" t="s">
        <v>787</v>
      </c>
      <c r="B174" s="394"/>
      <c r="C174" s="916" t="s">
        <v>1011</v>
      </c>
      <c r="D174" s="793"/>
      <c r="E174" s="184" t="s">
        <v>303</v>
      </c>
      <c r="F174" s="184" t="s">
        <v>854</v>
      </c>
      <c r="G174" s="792" t="s">
        <v>302</v>
      </c>
      <c r="H174" s="407"/>
      <c r="I174" s="341"/>
      <c r="J174" s="361"/>
      <c r="K174" s="237"/>
      <c r="L174" s="237"/>
      <c r="M174" s="350"/>
    </row>
    <row r="175" spans="1:13" ht="12.75" hidden="1" customHeight="1" x14ac:dyDescent="0.2">
      <c r="A175" s="207" t="s">
        <v>788</v>
      </c>
      <c r="B175" s="25"/>
      <c r="C175" s="899" t="s">
        <v>294</v>
      </c>
      <c r="D175" s="797"/>
      <c r="E175" s="32" t="s">
        <v>303</v>
      </c>
      <c r="F175" s="32" t="s">
        <v>853</v>
      </c>
      <c r="G175" s="785" t="s">
        <v>302</v>
      </c>
      <c r="H175" s="409" t="s">
        <v>295</v>
      </c>
      <c r="I175" s="341"/>
      <c r="J175" s="361"/>
      <c r="K175" s="237"/>
      <c r="L175" s="237"/>
      <c r="M175" s="350"/>
    </row>
    <row r="176" spans="1:13" ht="12.75" hidden="1" customHeight="1" x14ac:dyDescent="0.2">
      <c r="A176" s="209" t="s">
        <v>783</v>
      </c>
      <c r="B176" s="3"/>
      <c r="C176" s="902" t="s">
        <v>278</v>
      </c>
      <c r="D176" s="788"/>
      <c r="E176" s="6" t="s">
        <v>303</v>
      </c>
      <c r="F176" s="6" t="s">
        <v>853</v>
      </c>
      <c r="G176" s="789" t="s">
        <v>302</v>
      </c>
      <c r="H176" s="27" t="s">
        <v>318</v>
      </c>
      <c r="I176" s="341"/>
      <c r="J176" s="361"/>
      <c r="K176" s="237"/>
      <c r="L176" s="237"/>
      <c r="M176" s="350"/>
    </row>
    <row r="177" spans="1:13" ht="24.75" customHeight="1" x14ac:dyDescent="0.2">
      <c r="A177" s="209"/>
      <c r="B177" s="24" t="s">
        <v>1072</v>
      </c>
      <c r="C177" s="1074" t="s">
        <v>1153</v>
      </c>
      <c r="D177" s="806" t="s">
        <v>696</v>
      </c>
      <c r="E177" s="346" t="s">
        <v>450</v>
      </c>
      <c r="F177" s="346" t="s">
        <v>461</v>
      </c>
      <c r="G177" s="807"/>
      <c r="H177" s="866"/>
      <c r="I177" s="353">
        <f>I178+I180+I182</f>
        <v>198.17000000000002</v>
      </c>
      <c r="J177" s="153">
        <f>J178+J180+J182</f>
        <v>0</v>
      </c>
      <c r="K177" s="151">
        <f>K178+K180+K182</f>
        <v>2087.1</v>
      </c>
      <c r="L177" s="151">
        <f>L178+L180+L182</f>
        <v>2263.6</v>
      </c>
      <c r="M177" s="351">
        <f>M178+M180+M182</f>
        <v>0</v>
      </c>
    </row>
    <row r="178" spans="1:13" ht="23.25" customHeight="1" x14ac:dyDescent="0.2">
      <c r="A178" s="193" t="s">
        <v>786</v>
      </c>
      <c r="B178" s="25" t="s">
        <v>1073</v>
      </c>
      <c r="C178" s="899" t="s">
        <v>517</v>
      </c>
      <c r="D178" s="781" t="s">
        <v>696</v>
      </c>
      <c r="E178" s="11" t="s">
        <v>450</v>
      </c>
      <c r="F178" s="11" t="s">
        <v>518</v>
      </c>
      <c r="G178" s="782"/>
      <c r="H178" s="404"/>
      <c r="I178" s="371">
        <f>I179</f>
        <v>0</v>
      </c>
      <c r="J178" s="359">
        <f>J179</f>
        <v>0</v>
      </c>
      <c r="K178" s="186">
        <f>K179</f>
        <v>1087.0999999999999</v>
      </c>
      <c r="L178" s="186">
        <f>L179</f>
        <v>1666</v>
      </c>
      <c r="M178" s="383">
        <f>M179</f>
        <v>0</v>
      </c>
    </row>
    <row r="179" spans="1:13" x14ac:dyDescent="0.2">
      <c r="A179" s="52" t="s">
        <v>787</v>
      </c>
      <c r="B179" s="3" t="s">
        <v>1074</v>
      </c>
      <c r="C179" s="828" t="s">
        <v>1118</v>
      </c>
      <c r="D179" s="783" t="s">
        <v>696</v>
      </c>
      <c r="E179" s="182" t="s">
        <v>450</v>
      </c>
      <c r="F179" s="182" t="s">
        <v>518</v>
      </c>
      <c r="G179" s="784" t="s">
        <v>495</v>
      </c>
      <c r="H179" s="405"/>
      <c r="I179" s="370">
        <f>Бюд.р.!H366</f>
        <v>0</v>
      </c>
      <c r="J179" s="360">
        <v>0</v>
      </c>
      <c r="K179" s="189">
        <v>1087.0999999999999</v>
      </c>
      <c r="L179" s="189">
        <v>1666</v>
      </c>
      <c r="M179" s="384">
        <v>0</v>
      </c>
    </row>
    <row r="180" spans="1:13" ht="22.5" x14ac:dyDescent="0.2">
      <c r="A180" s="193" t="s">
        <v>789</v>
      </c>
      <c r="B180" s="25" t="s">
        <v>1075</v>
      </c>
      <c r="C180" s="916" t="s">
        <v>519</v>
      </c>
      <c r="D180" s="781" t="s">
        <v>696</v>
      </c>
      <c r="E180" s="11" t="s">
        <v>450</v>
      </c>
      <c r="F180" s="11" t="s">
        <v>430</v>
      </c>
      <c r="G180" s="782"/>
      <c r="H180" s="404"/>
      <c r="I180" s="371">
        <f>I181</f>
        <v>0</v>
      </c>
      <c r="J180" s="359">
        <f>J181</f>
        <v>0</v>
      </c>
      <c r="K180" s="186">
        <f>K181</f>
        <v>500</v>
      </c>
      <c r="L180" s="186">
        <f>L181</f>
        <v>300</v>
      </c>
      <c r="M180" s="383">
        <f>M181</f>
        <v>0</v>
      </c>
    </row>
    <row r="181" spans="1:13" x14ac:dyDescent="0.2">
      <c r="A181" s="52" t="s">
        <v>790</v>
      </c>
      <c r="B181" s="3" t="s">
        <v>1076</v>
      </c>
      <c r="C181" s="828" t="s">
        <v>1118</v>
      </c>
      <c r="D181" s="783" t="s">
        <v>696</v>
      </c>
      <c r="E181" s="182" t="s">
        <v>450</v>
      </c>
      <c r="F181" s="182" t="s">
        <v>430</v>
      </c>
      <c r="G181" s="784" t="s">
        <v>495</v>
      </c>
      <c r="H181" s="405"/>
      <c r="I181" s="370">
        <f>Бюд.р.!H372</f>
        <v>0</v>
      </c>
      <c r="J181" s="360">
        <v>0</v>
      </c>
      <c r="K181" s="189">
        <v>500</v>
      </c>
      <c r="L181" s="189">
        <v>300</v>
      </c>
      <c r="M181" s="384">
        <v>0</v>
      </c>
    </row>
    <row r="182" spans="1:13" ht="22.5" x14ac:dyDescent="0.2">
      <c r="A182" s="342"/>
      <c r="B182" s="399" t="s">
        <v>1077</v>
      </c>
      <c r="C182" s="916" t="s">
        <v>429</v>
      </c>
      <c r="D182" s="781" t="s">
        <v>696</v>
      </c>
      <c r="E182" s="11" t="s">
        <v>450</v>
      </c>
      <c r="F182" s="11" t="s">
        <v>1154</v>
      </c>
      <c r="G182" s="782"/>
      <c r="H182" s="409"/>
      <c r="I182" s="371">
        <f>I183</f>
        <v>198.17000000000002</v>
      </c>
      <c r="J182" s="359">
        <f>J183</f>
        <v>0</v>
      </c>
      <c r="K182" s="186">
        <f>K183</f>
        <v>500</v>
      </c>
      <c r="L182" s="186">
        <f>L183</f>
        <v>297.60000000000002</v>
      </c>
      <c r="M182" s="383">
        <f>M183</f>
        <v>0</v>
      </c>
    </row>
    <row r="183" spans="1:13" ht="13.5" customHeight="1" x14ac:dyDescent="0.2">
      <c r="A183" s="342"/>
      <c r="B183" s="61" t="s">
        <v>1078</v>
      </c>
      <c r="C183" s="828" t="s">
        <v>1118</v>
      </c>
      <c r="D183" s="783" t="s">
        <v>696</v>
      </c>
      <c r="E183" s="182" t="s">
        <v>450</v>
      </c>
      <c r="F183" s="182" t="s">
        <v>1154</v>
      </c>
      <c r="G183" s="784" t="s">
        <v>495</v>
      </c>
      <c r="H183" s="27"/>
      <c r="I183" s="370">
        <f>Бюд.р.!H377</f>
        <v>198.17000000000002</v>
      </c>
      <c r="J183" s="360">
        <v>0</v>
      </c>
      <c r="K183" s="189">
        <v>500</v>
      </c>
      <c r="L183" s="189">
        <v>297.60000000000002</v>
      </c>
      <c r="M183" s="384">
        <v>0</v>
      </c>
    </row>
    <row r="184" spans="1:13" ht="15" customHeight="1" x14ac:dyDescent="0.2">
      <c r="A184" s="342"/>
      <c r="B184" s="24" t="s">
        <v>1079</v>
      </c>
      <c r="C184" s="917" t="s">
        <v>793</v>
      </c>
      <c r="D184" s="806" t="s">
        <v>696</v>
      </c>
      <c r="E184" s="346" t="s">
        <v>450</v>
      </c>
      <c r="F184" s="346" t="s">
        <v>794</v>
      </c>
      <c r="G184" s="808"/>
      <c r="H184" s="866"/>
      <c r="I184" s="353">
        <f>I185+I188+I192+I190</f>
        <v>7891.9740000000011</v>
      </c>
      <c r="J184" s="153">
        <f>J185+J188</f>
        <v>0</v>
      </c>
      <c r="K184" s="151">
        <f>K185+K188</f>
        <v>4320.8</v>
      </c>
      <c r="L184" s="151">
        <f>L185+L188</f>
        <v>8025.1</v>
      </c>
      <c r="M184" s="351">
        <f>M185+M188</f>
        <v>0</v>
      </c>
    </row>
    <row r="185" spans="1:13" ht="24" customHeight="1" x14ac:dyDescent="0.2">
      <c r="A185" s="342"/>
      <c r="B185" s="399" t="s">
        <v>1080</v>
      </c>
      <c r="C185" s="490" t="s">
        <v>1155</v>
      </c>
      <c r="D185" s="793" t="s">
        <v>696</v>
      </c>
      <c r="E185" s="184" t="s">
        <v>450</v>
      </c>
      <c r="F185" s="184" t="s">
        <v>791</v>
      </c>
      <c r="G185" s="792"/>
      <c r="H185" s="406"/>
      <c r="I185" s="766">
        <f>SUM(I186:I187)</f>
        <v>7445.0240000000013</v>
      </c>
      <c r="J185" s="359">
        <f>SUM(J186:J187)</f>
        <v>0</v>
      </c>
      <c r="K185" s="186">
        <f>SUM(K186:K187)</f>
        <v>3963.7</v>
      </c>
      <c r="L185" s="186">
        <f>SUM(L186:L187)</f>
        <v>7464.6</v>
      </c>
      <c r="M185" s="383">
        <f>SUM(M186:M187)</f>
        <v>0</v>
      </c>
    </row>
    <row r="186" spans="1:13" ht="13.5" customHeight="1" thickBot="1" x14ac:dyDescent="0.25">
      <c r="A186" s="342"/>
      <c r="B186" s="61" t="s">
        <v>1081</v>
      </c>
      <c r="C186" s="828" t="s">
        <v>1118</v>
      </c>
      <c r="D186" s="783" t="s">
        <v>696</v>
      </c>
      <c r="E186" s="182" t="s">
        <v>450</v>
      </c>
      <c r="F186" s="182" t="s">
        <v>791</v>
      </c>
      <c r="G186" s="784" t="s">
        <v>495</v>
      </c>
      <c r="H186" s="27"/>
      <c r="I186" s="370">
        <f>Бюд.р.!H386</f>
        <v>7445.0240000000013</v>
      </c>
      <c r="J186" s="360">
        <v>0</v>
      </c>
      <c r="K186" s="189">
        <v>2852.2</v>
      </c>
      <c r="L186" s="189">
        <v>4871.1000000000004</v>
      </c>
      <c r="M186" s="384">
        <v>0</v>
      </c>
    </row>
    <row r="187" spans="1:13" ht="36" hidden="1" customHeight="1" thickBot="1" x14ac:dyDescent="0.25">
      <c r="A187" s="342"/>
      <c r="B187" s="61" t="s">
        <v>90</v>
      </c>
      <c r="C187" s="900" t="s">
        <v>886</v>
      </c>
      <c r="D187" s="783" t="s">
        <v>696</v>
      </c>
      <c r="E187" s="182" t="s">
        <v>450</v>
      </c>
      <c r="F187" s="182" t="s">
        <v>791</v>
      </c>
      <c r="G187" s="784" t="s">
        <v>516</v>
      </c>
      <c r="H187" s="27"/>
      <c r="I187" s="370">
        <f>Бюд.р.!H389</f>
        <v>0</v>
      </c>
      <c r="J187" s="360">
        <v>0</v>
      </c>
      <c r="K187" s="189">
        <v>1111.5</v>
      </c>
      <c r="L187" s="189">
        <v>2593.5</v>
      </c>
      <c r="M187" s="384">
        <v>0</v>
      </c>
    </row>
    <row r="188" spans="1:13" ht="16.5" customHeight="1" x14ac:dyDescent="0.2">
      <c r="A188" s="211" t="s">
        <v>736</v>
      </c>
      <c r="B188" s="25" t="s">
        <v>1082</v>
      </c>
      <c r="C188" s="490" t="s">
        <v>1156</v>
      </c>
      <c r="D188" s="793" t="s">
        <v>696</v>
      </c>
      <c r="E188" s="184" t="s">
        <v>450</v>
      </c>
      <c r="F188" s="184" t="s">
        <v>795</v>
      </c>
      <c r="G188" s="792"/>
      <c r="H188" s="407"/>
      <c r="I188" s="766">
        <f>I189</f>
        <v>296.95</v>
      </c>
      <c r="J188" s="359">
        <f>J189</f>
        <v>0</v>
      </c>
      <c r="K188" s="186">
        <f>K189</f>
        <v>357.1</v>
      </c>
      <c r="L188" s="186">
        <f>L189</f>
        <v>560.5</v>
      </c>
      <c r="M188" s="383">
        <f>M189</f>
        <v>0</v>
      </c>
    </row>
    <row r="189" spans="1:13" x14ac:dyDescent="0.2">
      <c r="A189" s="52" t="s">
        <v>737</v>
      </c>
      <c r="B189" s="3" t="s">
        <v>1083</v>
      </c>
      <c r="C189" s="828" t="s">
        <v>1118</v>
      </c>
      <c r="D189" s="783" t="s">
        <v>696</v>
      </c>
      <c r="E189" s="182" t="s">
        <v>450</v>
      </c>
      <c r="F189" s="182" t="s">
        <v>795</v>
      </c>
      <c r="G189" s="784" t="s">
        <v>495</v>
      </c>
      <c r="H189" s="405"/>
      <c r="I189" s="370">
        <f>Бюд.р.!H396</f>
        <v>296.95</v>
      </c>
      <c r="J189" s="360">
        <v>0</v>
      </c>
      <c r="K189" s="189">
        <v>357.1</v>
      </c>
      <c r="L189" s="189">
        <v>560.5</v>
      </c>
      <c r="M189" s="384">
        <v>0</v>
      </c>
    </row>
    <row r="190" spans="1:13" ht="36" customHeight="1" x14ac:dyDescent="0.2">
      <c r="A190" s="1297"/>
      <c r="B190" s="400" t="s">
        <v>1084</v>
      </c>
      <c r="C190" s="490" t="s">
        <v>1175</v>
      </c>
      <c r="D190" s="805">
        <v>968</v>
      </c>
      <c r="E190" s="463">
        <v>503</v>
      </c>
      <c r="F190" s="1295" t="str">
        <f>F191</f>
        <v>600 03 04</v>
      </c>
      <c r="G190" s="1298"/>
      <c r="H190" s="842"/>
      <c r="I190" s="370">
        <f>I191</f>
        <v>0</v>
      </c>
      <c r="J190" s="360"/>
      <c r="K190" s="189"/>
      <c r="L190" s="189"/>
      <c r="M190" s="384"/>
    </row>
    <row r="191" spans="1:13" x14ac:dyDescent="0.2">
      <c r="A191" s="1297"/>
      <c r="B191" s="3" t="s">
        <v>1085</v>
      </c>
      <c r="C191" s="828" t="s">
        <v>1118</v>
      </c>
      <c r="D191" s="783" t="s">
        <v>696</v>
      </c>
      <c r="E191" s="182" t="s">
        <v>450</v>
      </c>
      <c r="F191" s="182" t="s">
        <v>1174</v>
      </c>
      <c r="G191" s="784" t="s">
        <v>495</v>
      </c>
      <c r="H191" s="855"/>
      <c r="I191" s="370">
        <f>Бюд.р.!H404</f>
        <v>0</v>
      </c>
      <c r="J191" s="360"/>
      <c r="K191" s="189"/>
      <c r="L191" s="189"/>
      <c r="M191" s="384"/>
    </row>
    <row r="192" spans="1:13" ht="22.5" x14ac:dyDescent="0.2">
      <c r="A192" s="212"/>
      <c r="B192" s="399" t="s">
        <v>1176</v>
      </c>
      <c r="C192" s="490" t="s">
        <v>1158</v>
      </c>
      <c r="D192" s="463">
        <v>968</v>
      </c>
      <c r="E192" s="463">
        <v>503</v>
      </c>
      <c r="F192" s="463" t="str">
        <f>F193</f>
        <v>600 03 05</v>
      </c>
      <c r="G192" s="463"/>
      <c r="H192" s="867"/>
      <c r="I192" s="833">
        <f>I193</f>
        <v>150</v>
      </c>
      <c r="J192" s="361"/>
      <c r="K192" s="237"/>
      <c r="L192" s="237"/>
      <c r="M192" s="350"/>
    </row>
    <row r="193" spans="1:13" x14ac:dyDescent="0.2">
      <c r="A193" s="212"/>
      <c r="B193" s="3" t="s">
        <v>1177</v>
      </c>
      <c r="C193" s="828" t="s">
        <v>1118</v>
      </c>
      <c r="D193" s="826">
        <v>968</v>
      </c>
      <c r="E193" s="826">
        <v>503</v>
      </c>
      <c r="F193" s="826" t="s">
        <v>1157</v>
      </c>
      <c r="G193" s="826">
        <v>240</v>
      </c>
      <c r="H193" s="894"/>
      <c r="I193" s="827">
        <f>Бюд.р.!H408</f>
        <v>150</v>
      </c>
      <c r="J193" s="361"/>
      <c r="K193" s="237"/>
      <c r="L193" s="237"/>
      <c r="M193" s="350"/>
    </row>
    <row r="194" spans="1:13" ht="12" customHeight="1" x14ac:dyDescent="0.2">
      <c r="A194" s="212"/>
      <c r="B194" s="24" t="s">
        <v>1086</v>
      </c>
      <c r="C194" s="1077" t="s">
        <v>1159</v>
      </c>
      <c r="D194" s="806" t="s">
        <v>696</v>
      </c>
      <c r="E194" s="346" t="s">
        <v>450</v>
      </c>
      <c r="F194" s="346" t="s">
        <v>796</v>
      </c>
      <c r="G194" s="810"/>
      <c r="H194" s="868"/>
      <c r="I194" s="353">
        <f>I199+I197+I195</f>
        <v>5277.4509999999991</v>
      </c>
      <c r="J194" s="153">
        <f>J199+J201</f>
        <v>0</v>
      </c>
      <c r="K194" s="151">
        <f>K199+K201</f>
        <v>0</v>
      </c>
      <c r="L194" s="151">
        <f>L199+L201</f>
        <v>0</v>
      </c>
      <c r="M194" s="351">
        <f>M199+M201</f>
        <v>500</v>
      </c>
    </row>
    <row r="195" spans="1:13" ht="21.75" customHeight="1" x14ac:dyDescent="0.2">
      <c r="A195" s="212"/>
      <c r="B195" s="400" t="s">
        <v>1087</v>
      </c>
      <c r="C195" s="490" t="s">
        <v>1160</v>
      </c>
      <c r="D195" s="781" t="s">
        <v>696</v>
      </c>
      <c r="E195" s="11" t="s">
        <v>450</v>
      </c>
      <c r="F195" s="11" t="s">
        <v>797</v>
      </c>
      <c r="G195" s="811"/>
      <c r="H195" s="865"/>
      <c r="I195" s="371">
        <f>I196</f>
        <v>4133.3819999999996</v>
      </c>
      <c r="J195" s="359">
        <f>J196</f>
        <v>0</v>
      </c>
      <c r="K195" s="186">
        <f>K196</f>
        <v>0</v>
      </c>
      <c r="L195" s="186">
        <f>L196</f>
        <v>0</v>
      </c>
      <c r="M195" s="383">
        <f>M196</f>
        <v>0</v>
      </c>
    </row>
    <row r="196" spans="1:13" ht="13.5" customHeight="1" x14ac:dyDescent="0.2">
      <c r="A196" s="212"/>
      <c r="B196" s="3" t="s">
        <v>1088</v>
      </c>
      <c r="C196" s="828" t="s">
        <v>1118</v>
      </c>
      <c r="D196" s="783" t="s">
        <v>696</v>
      </c>
      <c r="E196" s="182" t="s">
        <v>450</v>
      </c>
      <c r="F196" s="182" t="s">
        <v>797</v>
      </c>
      <c r="G196" s="784" t="s">
        <v>495</v>
      </c>
      <c r="H196" s="867"/>
      <c r="I196" s="370">
        <f>Бюд.р.!H414</f>
        <v>4133.3819999999996</v>
      </c>
      <c r="J196" s="360">
        <v>0</v>
      </c>
      <c r="K196" s="189">
        <v>0</v>
      </c>
      <c r="L196" s="189">
        <v>0</v>
      </c>
      <c r="M196" s="384">
        <v>0</v>
      </c>
    </row>
    <row r="197" spans="1:13" ht="21.75" customHeight="1" x14ac:dyDescent="0.2">
      <c r="A197" s="212"/>
      <c r="B197" s="400" t="s">
        <v>1089</v>
      </c>
      <c r="C197" s="1296" t="s">
        <v>1161</v>
      </c>
      <c r="D197" s="781" t="s">
        <v>696</v>
      </c>
      <c r="E197" s="11" t="s">
        <v>450</v>
      </c>
      <c r="F197" s="11" t="s">
        <v>814</v>
      </c>
      <c r="G197" s="811"/>
      <c r="H197" s="867"/>
      <c r="I197" s="825">
        <f>I198</f>
        <v>1144.069</v>
      </c>
      <c r="J197" s="360"/>
      <c r="K197" s="189"/>
      <c r="L197" s="189"/>
      <c r="M197" s="384"/>
    </row>
    <row r="198" spans="1:13" ht="13.5" customHeight="1" x14ac:dyDescent="0.2">
      <c r="A198" s="212"/>
      <c r="B198" s="3" t="s">
        <v>1090</v>
      </c>
      <c r="C198" s="828" t="s">
        <v>1118</v>
      </c>
      <c r="D198" s="783" t="s">
        <v>696</v>
      </c>
      <c r="E198" s="182" t="s">
        <v>450</v>
      </c>
      <c r="F198" s="182" t="s">
        <v>814</v>
      </c>
      <c r="G198" s="784" t="s">
        <v>495</v>
      </c>
      <c r="H198" s="867"/>
      <c r="I198" s="370">
        <f>Бюд.р.!H422</f>
        <v>1144.069</v>
      </c>
      <c r="J198" s="360"/>
      <c r="K198" s="189"/>
      <c r="L198" s="189"/>
      <c r="M198" s="384"/>
    </row>
    <row r="199" spans="1:13" ht="33" customHeight="1" x14ac:dyDescent="0.2">
      <c r="A199" s="212"/>
      <c r="B199" s="400" t="s">
        <v>1168</v>
      </c>
      <c r="C199" s="916" t="s">
        <v>153</v>
      </c>
      <c r="D199" s="781" t="s">
        <v>696</v>
      </c>
      <c r="E199" s="11" t="s">
        <v>450</v>
      </c>
      <c r="F199" s="11" t="s">
        <v>1022</v>
      </c>
      <c r="G199" s="811"/>
      <c r="H199" s="865"/>
      <c r="I199" s="371">
        <f>I200</f>
        <v>0</v>
      </c>
      <c r="J199" s="359">
        <f>J200</f>
        <v>0</v>
      </c>
      <c r="K199" s="186">
        <f>K200</f>
        <v>0</v>
      </c>
      <c r="L199" s="186">
        <f>L200</f>
        <v>0</v>
      </c>
      <c r="M199" s="383">
        <f>M200</f>
        <v>500</v>
      </c>
    </row>
    <row r="200" spans="1:13" ht="12" customHeight="1" thickBot="1" x14ac:dyDescent="0.25">
      <c r="A200" s="212"/>
      <c r="B200" s="3" t="s">
        <v>1169</v>
      </c>
      <c r="C200" s="828" t="s">
        <v>1118</v>
      </c>
      <c r="D200" s="783" t="s">
        <v>696</v>
      </c>
      <c r="E200" s="182" t="s">
        <v>450</v>
      </c>
      <c r="F200" s="182" t="s">
        <v>1022</v>
      </c>
      <c r="G200" s="784" t="s">
        <v>495</v>
      </c>
      <c r="H200" s="867"/>
      <c r="I200" s="370">
        <f>Бюд.р.!H427</f>
        <v>0</v>
      </c>
      <c r="J200" s="360">
        <v>0</v>
      </c>
      <c r="K200" s="189">
        <v>0</v>
      </c>
      <c r="L200" s="189">
        <v>0</v>
      </c>
      <c r="M200" s="384">
        <v>500</v>
      </c>
    </row>
    <row r="201" spans="1:13" ht="22.5" hidden="1" x14ac:dyDescent="0.2">
      <c r="A201" s="212"/>
      <c r="B201" s="3" t="s">
        <v>91</v>
      </c>
      <c r="C201" s="899" t="s">
        <v>815</v>
      </c>
      <c r="D201" s="781" t="s">
        <v>696</v>
      </c>
      <c r="E201" s="11" t="s">
        <v>450</v>
      </c>
      <c r="F201" s="11" t="s">
        <v>816</v>
      </c>
      <c r="G201" s="811"/>
      <c r="H201" s="865"/>
      <c r="I201" s="371">
        <f>I202</f>
        <v>0</v>
      </c>
      <c r="J201" s="359">
        <f>J202</f>
        <v>0</v>
      </c>
      <c r="K201" s="186">
        <f>K202</f>
        <v>0</v>
      </c>
      <c r="L201" s="186">
        <f>L202</f>
        <v>0</v>
      </c>
      <c r="M201" s="383">
        <f>M202</f>
        <v>0</v>
      </c>
    </row>
    <row r="202" spans="1:13" ht="14.25" hidden="1" customHeight="1" x14ac:dyDescent="0.2">
      <c r="A202" s="212"/>
      <c r="B202" s="1043" t="s">
        <v>169</v>
      </c>
      <c r="C202" s="1137" t="s">
        <v>469</v>
      </c>
      <c r="D202" s="819" t="s">
        <v>696</v>
      </c>
      <c r="E202" s="1057" t="s">
        <v>450</v>
      </c>
      <c r="F202" s="1057" t="s">
        <v>816</v>
      </c>
      <c r="G202" s="1058" t="s">
        <v>920</v>
      </c>
      <c r="H202" s="1144"/>
      <c r="I202" s="541">
        <f>Бюд.р.!H431</f>
        <v>0</v>
      </c>
      <c r="J202" s="360">
        <v>0</v>
      </c>
      <c r="K202" s="189">
        <v>0</v>
      </c>
      <c r="L202" s="189">
        <v>0</v>
      </c>
      <c r="M202" s="384">
        <v>0</v>
      </c>
    </row>
    <row r="203" spans="1:13" ht="15.75" thickBot="1" x14ac:dyDescent="0.25">
      <c r="A203" s="212"/>
      <c r="B203" s="1126" t="s">
        <v>742</v>
      </c>
      <c r="C203" s="1120" t="s">
        <v>817</v>
      </c>
      <c r="D203" s="1121" t="s">
        <v>696</v>
      </c>
      <c r="E203" s="1122" t="s">
        <v>818</v>
      </c>
      <c r="F203" s="1147"/>
      <c r="G203" s="1150"/>
      <c r="H203" s="1143"/>
      <c r="I203" s="1125">
        <f t="shared" ref="I203:M205" si="1">I204</f>
        <v>0</v>
      </c>
      <c r="J203" s="365">
        <f t="shared" si="1"/>
        <v>0</v>
      </c>
      <c r="K203" s="349">
        <f t="shared" si="1"/>
        <v>8</v>
      </c>
      <c r="L203" s="349">
        <f t="shared" si="1"/>
        <v>0</v>
      </c>
      <c r="M203" s="388">
        <f t="shared" si="1"/>
        <v>0</v>
      </c>
    </row>
    <row r="204" spans="1:13" ht="28.5" customHeight="1" x14ac:dyDescent="0.2">
      <c r="A204" s="212"/>
      <c r="B204" s="1138" t="s">
        <v>426</v>
      </c>
      <c r="C204" s="1082" t="s">
        <v>820</v>
      </c>
      <c r="D204" s="1087" t="s">
        <v>696</v>
      </c>
      <c r="E204" s="1088" t="s">
        <v>819</v>
      </c>
      <c r="F204" s="1096"/>
      <c r="G204" s="1094"/>
      <c r="H204" s="1141"/>
      <c r="I204" s="1091">
        <f t="shared" si="1"/>
        <v>0</v>
      </c>
      <c r="J204" s="358">
        <f t="shared" si="1"/>
        <v>0</v>
      </c>
      <c r="K204" s="152">
        <f t="shared" si="1"/>
        <v>8</v>
      </c>
      <c r="L204" s="152">
        <f t="shared" si="1"/>
        <v>0</v>
      </c>
      <c r="M204" s="382">
        <f t="shared" si="1"/>
        <v>0</v>
      </c>
    </row>
    <row r="205" spans="1:13" ht="22.5" x14ac:dyDescent="0.2">
      <c r="A205" s="212"/>
      <c r="B205" s="400" t="s">
        <v>11</v>
      </c>
      <c r="C205" s="918" t="s">
        <v>821</v>
      </c>
      <c r="D205" s="781" t="s">
        <v>696</v>
      </c>
      <c r="E205" s="11" t="s">
        <v>819</v>
      </c>
      <c r="F205" s="11" t="s">
        <v>822</v>
      </c>
      <c r="G205" s="812"/>
      <c r="H205" s="865"/>
      <c r="I205" s="371">
        <f t="shared" si="1"/>
        <v>0</v>
      </c>
      <c r="J205" s="359">
        <f t="shared" si="1"/>
        <v>0</v>
      </c>
      <c r="K205" s="186">
        <f t="shared" si="1"/>
        <v>8</v>
      </c>
      <c r="L205" s="186">
        <f t="shared" si="1"/>
        <v>0</v>
      </c>
      <c r="M205" s="383">
        <f t="shared" si="1"/>
        <v>0</v>
      </c>
    </row>
    <row r="206" spans="1:13" ht="13.5" thickBot="1" x14ac:dyDescent="0.25">
      <c r="A206" s="212"/>
      <c r="B206" s="1043" t="s">
        <v>12</v>
      </c>
      <c r="C206" s="828" t="s">
        <v>1118</v>
      </c>
      <c r="D206" s="819" t="s">
        <v>696</v>
      </c>
      <c r="E206" s="1057" t="s">
        <v>819</v>
      </c>
      <c r="F206" s="1057" t="s">
        <v>822</v>
      </c>
      <c r="G206" s="1058" t="s">
        <v>495</v>
      </c>
      <c r="H206" s="1144"/>
      <c r="I206" s="541">
        <f>Бюд.р.!H437</f>
        <v>0</v>
      </c>
      <c r="J206" s="360">
        <v>0</v>
      </c>
      <c r="K206" s="189">
        <v>8</v>
      </c>
      <c r="L206" s="189">
        <v>0</v>
      </c>
      <c r="M206" s="384">
        <v>0</v>
      </c>
    </row>
    <row r="207" spans="1:13" ht="15.75" thickBot="1" x14ac:dyDescent="0.25">
      <c r="A207" s="212"/>
      <c r="B207" s="1126" t="s">
        <v>743</v>
      </c>
      <c r="C207" s="1120" t="s">
        <v>290</v>
      </c>
      <c r="D207" s="1121" t="s">
        <v>696</v>
      </c>
      <c r="E207" s="1122" t="s">
        <v>412</v>
      </c>
      <c r="F207" s="1147"/>
      <c r="G207" s="1148"/>
      <c r="H207" s="1149"/>
      <c r="I207" s="1125">
        <f>I214+I221</f>
        <v>2853.6000000000004</v>
      </c>
      <c r="J207" s="365">
        <f>J214</f>
        <v>585</v>
      </c>
      <c r="K207" s="349">
        <f>K214</f>
        <v>667</v>
      </c>
      <c r="L207" s="349">
        <f>L214</f>
        <v>485</v>
      </c>
      <c r="M207" s="388">
        <f>M214</f>
        <v>1170</v>
      </c>
    </row>
    <row r="208" spans="1:13" ht="60" x14ac:dyDescent="0.2">
      <c r="A208" s="212"/>
      <c r="B208" s="1060" t="s">
        <v>5</v>
      </c>
      <c r="C208" s="1072" t="s">
        <v>1191</v>
      </c>
      <c r="D208" s="1047" t="s">
        <v>696</v>
      </c>
      <c r="E208" s="1056" t="s">
        <v>1192</v>
      </c>
      <c r="F208" s="1053"/>
      <c r="G208" s="1061"/>
      <c r="H208" s="1062"/>
      <c r="I208" s="1048">
        <f>I209</f>
        <v>255</v>
      </c>
      <c r="J208" s="365"/>
      <c r="K208" s="349"/>
      <c r="L208" s="349"/>
      <c r="M208" s="388"/>
    </row>
    <row r="209" spans="1:13" ht="56.25" x14ac:dyDescent="0.2">
      <c r="A209" s="212"/>
      <c r="B209" s="399" t="s">
        <v>6</v>
      </c>
      <c r="C209" s="1068" t="s">
        <v>1199</v>
      </c>
      <c r="D209" s="781" t="s">
        <v>696</v>
      </c>
      <c r="E209" s="11" t="s">
        <v>1192</v>
      </c>
      <c r="F209" s="11" t="s">
        <v>1198</v>
      </c>
      <c r="G209" s="782"/>
      <c r="H209" s="841"/>
      <c r="I209" s="371">
        <f>I210+I212</f>
        <v>255</v>
      </c>
      <c r="J209" s="365"/>
      <c r="K209" s="349"/>
      <c r="L209" s="349"/>
      <c r="M209" s="388"/>
    </row>
    <row r="210" spans="1:13" ht="45" x14ac:dyDescent="0.2">
      <c r="A210" s="212"/>
      <c r="B210" s="44" t="s">
        <v>7</v>
      </c>
      <c r="C210" s="1068" t="s">
        <v>1202</v>
      </c>
      <c r="D210" s="793" t="s">
        <v>696</v>
      </c>
      <c r="E210" s="184" t="s">
        <v>1192</v>
      </c>
      <c r="F210" s="184" t="s">
        <v>1200</v>
      </c>
      <c r="G210" s="792"/>
      <c r="H210" s="853"/>
      <c r="I210" s="766">
        <f>I211</f>
        <v>17</v>
      </c>
      <c r="J210" s="365"/>
      <c r="K210" s="349"/>
      <c r="L210" s="349"/>
      <c r="M210" s="388"/>
    </row>
    <row r="211" spans="1:13" ht="15" x14ac:dyDescent="0.2">
      <c r="A211" s="212"/>
      <c r="B211" s="3" t="s">
        <v>1193</v>
      </c>
      <c r="C211" s="828" t="s">
        <v>1118</v>
      </c>
      <c r="D211" s="783" t="s">
        <v>696</v>
      </c>
      <c r="E211" s="182" t="s">
        <v>413</v>
      </c>
      <c r="F211" s="182" t="s">
        <v>1200</v>
      </c>
      <c r="G211" s="784" t="s">
        <v>1207</v>
      </c>
      <c r="H211" s="842"/>
      <c r="I211" s="370">
        <f>Бюд.р.!H446</f>
        <v>17</v>
      </c>
      <c r="J211" s="365"/>
      <c r="K211" s="349"/>
      <c r="L211" s="349"/>
      <c r="M211" s="388"/>
    </row>
    <row r="212" spans="1:13" ht="22.5" x14ac:dyDescent="0.2">
      <c r="A212" s="212"/>
      <c r="B212" s="44" t="s">
        <v>1205</v>
      </c>
      <c r="C212" s="490" t="s">
        <v>1203</v>
      </c>
      <c r="D212" s="793" t="s">
        <v>696</v>
      </c>
      <c r="E212" s="184" t="s">
        <v>1192</v>
      </c>
      <c r="F212" s="184" t="s">
        <v>1204</v>
      </c>
      <c r="G212" s="792"/>
      <c r="H212" s="853"/>
      <c r="I212" s="766">
        <f>I213</f>
        <v>238</v>
      </c>
      <c r="J212" s="365"/>
      <c r="K212" s="349"/>
      <c r="L212" s="349"/>
      <c r="M212" s="388"/>
    </row>
    <row r="213" spans="1:13" ht="15" x14ac:dyDescent="0.2">
      <c r="A213" s="212"/>
      <c r="B213" s="3" t="s">
        <v>1206</v>
      </c>
      <c r="C213" s="828" t="s">
        <v>1118</v>
      </c>
      <c r="D213" s="783" t="s">
        <v>696</v>
      </c>
      <c r="E213" s="182" t="s">
        <v>413</v>
      </c>
      <c r="F213" s="182" t="s">
        <v>1204</v>
      </c>
      <c r="G213" s="784" t="s">
        <v>1207</v>
      </c>
      <c r="H213" s="842"/>
      <c r="I213" s="370">
        <f>Бюд.р.!H451</f>
        <v>238</v>
      </c>
      <c r="J213" s="365"/>
      <c r="K213" s="349"/>
      <c r="L213" s="349"/>
      <c r="M213" s="388"/>
    </row>
    <row r="214" spans="1:13" ht="30" x14ac:dyDescent="0.2">
      <c r="A214" s="212"/>
      <c r="B214" s="1138" t="s">
        <v>114</v>
      </c>
      <c r="C214" s="1082" t="s">
        <v>411</v>
      </c>
      <c r="D214" s="1087" t="s">
        <v>696</v>
      </c>
      <c r="E214" s="1088" t="s">
        <v>413</v>
      </c>
      <c r="F214" s="1096"/>
      <c r="G214" s="1145"/>
      <c r="H214" s="1146"/>
      <c r="I214" s="1091">
        <f>I215+I219</f>
        <v>2717.1000000000004</v>
      </c>
      <c r="J214" s="358">
        <f>J215+J219</f>
        <v>585</v>
      </c>
      <c r="K214" s="152">
        <f>K215+K219</f>
        <v>667</v>
      </c>
      <c r="L214" s="152">
        <f>L215+L219</f>
        <v>485</v>
      </c>
      <c r="M214" s="382">
        <f>M215+M219</f>
        <v>1170</v>
      </c>
    </row>
    <row r="215" spans="1:13" ht="35.25" customHeight="1" x14ac:dyDescent="0.2">
      <c r="A215" s="213" t="s">
        <v>299</v>
      </c>
      <c r="B215" s="399" t="s">
        <v>115</v>
      </c>
      <c r="C215" s="899" t="s">
        <v>414</v>
      </c>
      <c r="D215" s="781" t="s">
        <v>696</v>
      </c>
      <c r="E215" s="11" t="s">
        <v>413</v>
      </c>
      <c r="F215" s="11" t="s">
        <v>275</v>
      </c>
      <c r="G215" s="782"/>
      <c r="H215" s="404"/>
      <c r="I215" s="371">
        <f>I216</f>
        <v>1106.2</v>
      </c>
      <c r="J215" s="359">
        <f>J216</f>
        <v>90</v>
      </c>
      <c r="K215" s="186">
        <f>K216</f>
        <v>479</v>
      </c>
      <c r="L215" s="186">
        <f>L216</f>
        <v>485</v>
      </c>
      <c r="M215" s="383">
        <f>M216</f>
        <v>310</v>
      </c>
    </row>
    <row r="216" spans="1:13" x14ac:dyDescent="0.2">
      <c r="A216" s="52" t="s">
        <v>212</v>
      </c>
      <c r="B216" s="3" t="s">
        <v>116</v>
      </c>
      <c r="C216" s="828" t="s">
        <v>1118</v>
      </c>
      <c r="D216" s="783" t="s">
        <v>696</v>
      </c>
      <c r="E216" s="182" t="s">
        <v>413</v>
      </c>
      <c r="F216" s="182" t="s">
        <v>275</v>
      </c>
      <c r="G216" s="784" t="s">
        <v>495</v>
      </c>
      <c r="H216" s="405"/>
      <c r="I216" s="370">
        <f>Бюд.р.!H468</f>
        <v>1106.2</v>
      </c>
      <c r="J216" s="360">
        <v>90</v>
      </c>
      <c r="K216" s="189">
        <v>479</v>
      </c>
      <c r="L216" s="189">
        <v>485</v>
      </c>
      <c r="M216" s="384">
        <v>310</v>
      </c>
    </row>
    <row r="217" spans="1:13" hidden="1" x14ac:dyDescent="0.2">
      <c r="A217" s="210" t="s">
        <v>213</v>
      </c>
      <c r="B217" s="399"/>
      <c r="C217" s="899" t="s">
        <v>294</v>
      </c>
      <c r="D217" s="797"/>
      <c r="E217" s="32" t="s">
        <v>304</v>
      </c>
      <c r="F217" s="32" t="s">
        <v>211</v>
      </c>
      <c r="G217" s="785" t="s">
        <v>293</v>
      </c>
      <c r="H217" s="409" t="s">
        <v>295</v>
      </c>
      <c r="I217" s="341"/>
      <c r="J217" s="361"/>
      <c r="K217" s="237"/>
      <c r="L217" s="237"/>
      <c r="M217" s="350"/>
    </row>
    <row r="218" spans="1:13" hidden="1" x14ac:dyDescent="0.2">
      <c r="A218" s="214" t="s">
        <v>783</v>
      </c>
      <c r="B218" s="61"/>
      <c r="C218" s="919" t="s">
        <v>278</v>
      </c>
      <c r="D218" s="788"/>
      <c r="E218" s="4" t="s">
        <v>304</v>
      </c>
      <c r="F218" s="4" t="s">
        <v>211</v>
      </c>
      <c r="G218" s="813" t="s">
        <v>293</v>
      </c>
      <c r="H218" s="869" t="s">
        <v>318</v>
      </c>
      <c r="I218" s="341"/>
      <c r="J218" s="361"/>
      <c r="K218" s="237"/>
      <c r="L218" s="237"/>
      <c r="M218" s="350"/>
    </row>
    <row r="219" spans="1:13" ht="35.25" customHeight="1" x14ac:dyDescent="0.2">
      <c r="A219" s="213" t="s">
        <v>287</v>
      </c>
      <c r="B219" s="399" t="s">
        <v>1091</v>
      </c>
      <c r="C219" s="899" t="s">
        <v>415</v>
      </c>
      <c r="D219" s="781" t="s">
        <v>696</v>
      </c>
      <c r="E219" s="11" t="s">
        <v>413</v>
      </c>
      <c r="F219" s="11" t="s">
        <v>276</v>
      </c>
      <c r="G219" s="782"/>
      <c r="H219" s="404"/>
      <c r="I219" s="371">
        <f>I220</f>
        <v>1610.9</v>
      </c>
      <c r="J219" s="359">
        <f>J220</f>
        <v>495</v>
      </c>
      <c r="K219" s="186">
        <f>K220</f>
        <v>188</v>
      </c>
      <c r="L219" s="186">
        <f>L220</f>
        <v>0</v>
      </c>
      <c r="M219" s="383">
        <f>M220</f>
        <v>860</v>
      </c>
    </row>
    <row r="220" spans="1:13" ht="13.5" thickBot="1" x14ac:dyDescent="0.25">
      <c r="A220" s="52" t="s">
        <v>812</v>
      </c>
      <c r="B220" s="3" t="s">
        <v>1092</v>
      </c>
      <c r="C220" s="828" t="s">
        <v>1118</v>
      </c>
      <c r="D220" s="783" t="s">
        <v>696</v>
      </c>
      <c r="E220" s="182" t="s">
        <v>413</v>
      </c>
      <c r="F220" s="182" t="s">
        <v>276</v>
      </c>
      <c r="G220" s="784" t="s">
        <v>495</v>
      </c>
      <c r="H220" s="405"/>
      <c r="I220" s="541">
        <f>Бюд.р.!H476</f>
        <v>1610.9</v>
      </c>
      <c r="J220" s="360">
        <v>495</v>
      </c>
      <c r="K220" s="189">
        <v>188</v>
      </c>
      <c r="L220" s="189">
        <v>0</v>
      </c>
      <c r="M220" s="384">
        <v>860</v>
      </c>
    </row>
    <row r="221" spans="1:13" ht="15" x14ac:dyDescent="0.2">
      <c r="A221" s="210" t="s">
        <v>813</v>
      </c>
      <c r="B221" s="1092" t="s">
        <v>5</v>
      </c>
      <c r="C221" s="1097" t="s">
        <v>14</v>
      </c>
      <c r="D221" s="1098">
        <v>968</v>
      </c>
      <c r="E221" s="1098">
        <v>709</v>
      </c>
      <c r="F221" s="1098"/>
      <c r="G221" s="1098"/>
      <c r="H221" s="1269" t="s">
        <v>295</v>
      </c>
      <c r="I221" s="1271">
        <f>I222+I224</f>
        <v>136.5</v>
      </c>
      <c r="J221" s="361"/>
      <c r="K221" s="237"/>
      <c r="L221" s="237"/>
      <c r="M221" s="350"/>
    </row>
    <row r="222" spans="1:13" ht="33.75" x14ac:dyDescent="0.2">
      <c r="A222" s="214" t="s">
        <v>783</v>
      </c>
      <c r="B222" s="399" t="s">
        <v>6</v>
      </c>
      <c r="C222" s="1071" t="s">
        <v>1144</v>
      </c>
      <c r="D222" s="830">
        <v>968</v>
      </c>
      <c r="E222" s="830">
        <v>709</v>
      </c>
      <c r="F222" s="830" t="str">
        <f>F223</f>
        <v>795 01 00</v>
      </c>
      <c r="G222" s="830"/>
      <c r="H222" s="1270" t="s">
        <v>318</v>
      </c>
      <c r="I222" s="825">
        <f>I223</f>
        <v>30</v>
      </c>
      <c r="J222" s="361"/>
      <c r="K222" s="237"/>
      <c r="L222" s="237"/>
      <c r="M222" s="350"/>
    </row>
    <row r="223" spans="1:13" x14ac:dyDescent="0.2">
      <c r="A223" s="213" t="s">
        <v>744</v>
      </c>
      <c r="B223" s="1043" t="s">
        <v>7</v>
      </c>
      <c r="C223" s="828" t="s">
        <v>1118</v>
      </c>
      <c r="D223" s="976">
        <v>968</v>
      </c>
      <c r="E223" s="976">
        <v>709</v>
      </c>
      <c r="F223" s="976" t="s">
        <v>463</v>
      </c>
      <c r="G223" s="976">
        <v>240</v>
      </c>
      <c r="H223" s="1059"/>
      <c r="I223" s="827">
        <f>Бюд.р.!H493</f>
        <v>30</v>
      </c>
      <c r="J223" s="361"/>
      <c r="K223" s="237"/>
      <c r="L223" s="237"/>
      <c r="M223" s="350"/>
    </row>
    <row r="224" spans="1:13" ht="27.75" customHeight="1" x14ac:dyDescent="0.2">
      <c r="A224" s="1266"/>
      <c r="B224" s="399" t="s">
        <v>1102</v>
      </c>
      <c r="C224" s="490" t="s">
        <v>1146</v>
      </c>
      <c r="D224" s="781" t="s">
        <v>696</v>
      </c>
      <c r="E224" s="11" t="s">
        <v>18</v>
      </c>
      <c r="F224" s="11" t="s">
        <v>163</v>
      </c>
      <c r="G224" s="782"/>
      <c r="H224" s="1267"/>
      <c r="I224" s="825">
        <f>I225</f>
        <v>106.5</v>
      </c>
      <c r="J224" s="361"/>
      <c r="K224" s="237"/>
      <c r="L224" s="237"/>
      <c r="M224" s="350"/>
    </row>
    <row r="225" spans="1:13" ht="13.5" thickBot="1" x14ac:dyDescent="0.25">
      <c r="A225" s="1266"/>
      <c r="B225" s="1043" t="s">
        <v>1103</v>
      </c>
      <c r="C225" s="828" t="s">
        <v>1118</v>
      </c>
      <c r="D225" s="819" t="s">
        <v>696</v>
      </c>
      <c r="E225" s="1057" t="s">
        <v>18</v>
      </c>
      <c r="F225" s="1057" t="s">
        <v>163</v>
      </c>
      <c r="G225" s="1058" t="s">
        <v>495</v>
      </c>
      <c r="H225" s="1267"/>
      <c r="I225" s="1166">
        <f>Бюд.р.!H502</f>
        <v>106.5</v>
      </c>
      <c r="J225" s="361"/>
      <c r="K225" s="237"/>
      <c r="L225" s="237"/>
      <c r="M225" s="350"/>
    </row>
    <row r="226" spans="1:13" ht="20.25" customHeight="1" thickBot="1" x14ac:dyDescent="0.25">
      <c r="A226" s="218"/>
      <c r="B226" s="1126" t="s">
        <v>520</v>
      </c>
      <c r="C226" s="1120" t="s">
        <v>1039</v>
      </c>
      <c r="D226" s="1121" t="s">
        <v>696</v>
      </c>
      <c r="E226" s="1122" t="s">
        <v>416</v>
      </c>
      <c r="F226" s="1128"/>
      <c r="G226" s="1142"/>
      <c r="H226" s="1143"/>
      <c r="I226" s="1268" t="e">
        <f>I227</f>
        <v>#REF!</v>
      </c>
      <c r="J226" s="365" t="e">
        <f>J227+#REF!</f>
        <v>#REF!</v>
      </c>
      <c r="K226" s="349" t="e">
        <f>K227+#REF!</f>
        <v>#REF!</v>
      </c>
      <c r="L226" s="349" t="e">
        <f>L227+#REF!</f>
        <v>#REF!</v>
      </c>
      <c r="M226" s="388" t="e">
        <f>M227+#REF!</f>
        <v>#REF!</v>
      </c>
    </row>
    <row r="227" spans="1:13" ht="15" x14ac:dyDescent="0.2">
      <c r="A227" s="218"/>
      <c r="B227" s="1138" t="s">
        <v>583</v>
      </c>
      <c r="C227" s="1082" t="s">
        <v>772</v>
      </c>
      <c r="D227" s="1087" t="s">
        <v>696</v>
      </c>
      <c r="E227" s="1088" t="s">
        <v>417</v>
      </c>
      <c r="F227" s="1139"/>
      <c r="G227" s="1140"/>
      <c r="H227" s="1141"/>
      <c r="I227" s="1091" t="e">
        <f>I228+I230</f>
        <v>#REF!</v>
      </c>
      <c r="J227" s="358">
        <f t="shared" ref="I227:M228" si="2">J228</f>
        <v>849</v>
      </c>
      <c r="K227" s="152">
        <f t="shared" si="2"/>
        <v>707</v>
      </c>
      <c r="L227" s="152">
        <f t="shared" si="2"/>
        <v>197</v>
      </c>
      <c r="M227" s="382">
        <f t="shared" si="2"/>
        <v>253</v>
      </c>
    </row>
    <row r="228" spans="1:13" ht="34.5" customHeight="1" x14ac:dyDescent="0.2">
      <c r="A228" s="218"/>
      <c r="B228" s="399" t="s">
        <v>586</v>
      </c>
      <c r="C228" s="1075" t="s">
        <v>1173</v>
      </c>
      <c r="D228" s="781" t="s">
        <v>696</v>
      </c>
      <c r="E228" s="58" t="s">
        <v>417</v>
      </c>
      <c r="F228" s="58" t="s">
        <v>1170</v>
      </c>
      <c r="G228" s="809"/>
      <c r="H228" s="867"/>
      <c r="I228" s="371">
        <f t="shared" si="2"/>
        <v>10081.829</v>
      </c>
      <c r="J228" s="359">
        <f t="shared" si="2"/>
        <v>849</v>
      </c>
      <c r="K228" s="186">
        <f t="shared" si="2"/>
        <v>707</v>
      </c>
      <c r="L228" s="186">
        <f t="shared" si="2"/>
        <v>197</v>
      </c>
      <c r="M228" s="383">
        <f t="shared" si="2"/>
        <v>253</v>
      </c>
    </row>
    <row r="229" spans="1:13" ht="13.5" customHeight="1" x14ac:dyDescent="0.2">
      <c r="A229" s="218"/>
      <c r="B229" s="3" t="s">
        <v>587</v>
      </c>
      <c r="C229" s="828" t="s">
        <v>1118</v>
      </c>
      <c r="D229" s="783" t="s">
        <v>696</v>
      </c>
      <c r="E229" s="182" t="s">
        <v>417</v>
      </c>
      <c r="F229" s="182" t="s">
        <v>1170</v>
      </c>
      <c r="G229" s="784" t="s">
        <v>495</v>
      </c>
      <c r="H229" s="867"/>
      <c r="I229" s="370">
        <f>Бюд.р.!H510</f>
        <v>10081.829</v>
      </c>
      <c r="J229" s="360">
        <v>849</v>
      </c>
      <c r="K229" s="189">
        <v>707</v>
      </c>
      <c r="L229" s="189">
        <v>197</v>
      </c>
      <c r="M229" s="384">
        <v>253</v>
      </c>
    </row>
    <row r="230" spans="1:13" ht="24" customHeight="1" x14ac:dyDescent="0.2">
      <c r="A230" s="218"/>
      <c r="B230" s="399" t="s">
        <v>1036</v>
      </c>
      <c r="C230" s="914" t="s">
        <v>1027</v>
      </c>
      <c r="D230" s="159">
        <v>968</v>
      </c>
      <c r="E230" s="159">
        <v>801</v>
      </c>
      <c r="F230" s="159" t="str">
        <f>F231</f>
        <v>440 01 02</v>
      </c>
      <c r="G230" s="159"/>
      <c r="H230" s="852"/>
      <c r="I230" s="825" t="e">
        <f>I231</f>
        <v>#REF!</v>
      </c>
      <c r="J230" s="360"/>
      <c r="K230" s="189"/>
      <c r="L230" s="189"/>
      <c r="M230" s="384"/>
    </row>
    <row r="231" spans="1:13" ht="13.5" customHeight="1" thickBot="1" x14ac:dyDescent="0.25">
      <c r="A231" s="218"/>
      <c r="B231" s="1043" t="s">
        <v>1037</v>
      </c>
      <c r="C231" s="828" t="s">
        <v>1118</v>
      </c>
      <c r="D231" s="976">
        <v>968</v>
      </c>
      <c r="E231" s="976">
        <v>801</v>
      </c>
      <c r="F231" s="976" t="s">
        <v>1172</v>
      </c>
      <c r="G231" s="976">
        <v>240</v>
      </c>
      <c r="H231" s="1063"/>
      <c r="I231" s="921" t="e">
        <f>Бюд.р.!#REF!</f>
        <v>#REF!</v>
      </c>
      <c r="J231" s="360"/>
      <c r="K231" s="189"/>
      <c r="L231" s="189"/>
      <c r="M231" s="384"/>
    </row>
    <row r="232" spans="1:13" hidden="1" x14ac:dyDescent="0.2">
      <c r="A232" s="50" t="s">
        <v>892</v>
      </c>
      <c r="B232" s="44"/>
      <c r="C232" s="916" t="s">
        <v>294</v>
      </c>
      <c r="D232" s="797"/>
      <c r="E232" s="36" t="s">
        <v>521</v>
      </c>
      <c r="F232" s="33" t="s">
        <v>522</v>
      </c>
      <c r="G232" s="816">
        <v>455</v>
      </c>
      <c r="H232" s="870" t="s">
        <v>295</v>
      </c>
      <c r="I232" s="341"/>
      <c r="J232" s="361"/>
      <c r="K232" s="237"/>
      <c r="L232" s="237"/>
      <c r="M232" s="350"/>
    </row>
    <row r="233" spans="1:13" hidden="1" x14ac:dyDescent="0.2">
      <c r="A233" s="51" t="s">
        <v>783</v>
      </c>
      <c r="B233" s="61"/>
      <c r="C233" s="919" t="s">
        <v>278</v>
      </c>
      <c r="D233" s="788"/>
      <c r="E233" s="4" t="s">
        <v>521</v>
      </c>
      <c r="F233" s="34" t="s">
        <v>522</v>
      </c>
      <c r="G233" s="817">
        <v>455</v>
      </c>
      <c r="H233" s="869" t="s">
        <v>318</v>
      </c>
      <c r="I233" s="341"/>
      <c r="J233" s="361"/>
      <c r="K233" s="237"/>
      <c r="L233" s="237"/>
      <c r="M233" s="350"/>
    </row>
    <row r="234" spans="1:13" ht="17.25" hidden="1" customHeight="1" thickBot="1" x14ac:dyDescent="0.3">
      <c r="A234" s="47" t="s">
        <v>520</v>
      </c>
      <c r="B234" s="401"/>
      <c r="C234" s="920" t="s">
        <v>291</v>
      </c>
      <c r="D234" s="802"/>
      <c r="E234" s="225" t="s">
        <v>346</v>
      </c>
      <c r="F234" s="226"/>
      <c r="G234" s="814"/>
      <c r="H234" s="871"/>
      <c r="I234" s="341"/>
      <c r="J234" s="361"/>
      <c r="K234" s="237"/>
      <c r="L234" s="237"/>
      <c r="M234" s="350"/>
    </row>
    <row r="235" spans="1:13" ht="27" hidden="1" customHeight="1" thickBot="1" x14ac:dyDescent="0.25">
      <c r="A235" s="48" t="s">
        <v>811</v>
      </c>
      <c r="B235" s="401"/>
      <c r="C235" s="903" t="s">
        <v>347</v>
      </c>
      <c r="D235" s="790"/>
      <c r="E235" s="60" t="s">
        <v>922</v>
      </c>
      <c r="F235" s="188"/>
      <c r="G235" s="818"/>
      <c r="H235" s="867"/>
      <c r="I235" s="341"/>
      <c r="J235" s="361"/>
      <c r="K235" s="237"/>
      <c r="L235" s="237"/>
      <c r="M235" s="350"/>
    </row>
    <row r="236" spans="1:13" ht="63" hidden="1" customHeight="1" thickBot="1" x14ac:dyDescent="0.25">
      <c r="A236" s="49" t="s">
        <v>299</v>
      </c>
      <c r="B236" s="400"/>
      <c r="C236" s="906" t="s">
        <v>0</v>
      </c>
      <c r="D236" s="781"/>
      <c r="E236" s="58" t="s">
        <v>922</v>
      </c>
      <c r="F236" s="59" t="s">
        <v>471</v>
      </c>
      <c r="G236" s="815"/>
      <c r="H236" s="865"/>
      <c r="I236" s="341"/>
      <c r="J236" s="361"/>
      <c r="K236" s="237"/>
      <c r="L236" s="237"/>
      <c r="M236" s="350"/>
    </row>
    <row r="237" spans="1:13" ht="18.75" customHeight="1" thickBot="1" x14ac:dyDescent="0.3">
      <c r="A237" s="219"/>
      <c r="B237" s="1126" t="s">
        <v>154</v>
      </c>
      <c r="C237" s="1127" t="s">
        <v>291</v>
      </c>
      <c r="D237" s="1121" t="s">
        <v>696</v>
      </c>
      <c r="E237" s="1128" t="s">
        <v>346</v>
      </c>
      <c r="F237" s="1129"/>
      <c r="G237" s="1130"/>
      <c r="H237" s="1131"/>
      <c r="I237" s="1125">
        <f>I241+I244</f>
        <v>16656.915999999997</v>
      </c>
      <c r="J237" s="365" t="e">
        <f>J244</f>
        <v>#REF!</v>
      </c>
      <c r="K237" s="349" t="e">
        <f>K244</f>
        <v>#REF!</v>
      </c>
      <c r="L237" s="349" t="e">
        <f>L244</f>
        <v>#REF!</v>
      </c>
      <c r="M237" s="388" t="e">
        <f>M244</f>
        <v>#REF!</v>
      </c>
    </row>
    <row r="238" spans="1:13" ht="15" hidden="1" customHeight="1" x14ac:dyDescent="0.2">
      <c r="A238" s="219"/>
      <c r="B238" s="1060" t="s">
        <v>583</v>
      </c>
      <c r="C238" s="1078" t="s">
        <v>774</v>
      </c>
      <c r="D238" s="837">
        <v>968</v>
      </c>
      <c r="E238" s="838">
        <v>1001</v>
      </c>
      <c r="F238" s="838"/>
      <c r="G238" s="1064"/>
      <c r="H238" s="1065"/>
      <c r="I238" s="977">
        <f>I239</f>
        <v>9259.7999999999993</v>
      </c>
      <c r="J238" s="365"/>
      <c r="K238" s="349"/>
      <c r="L238" s="349"/>
      <c r="M238" s="388"/>
    </row>
    <row r="239" spans="1:13" ht="15" hidden="1" customHeight="1" x14ac:dyDescent="0.2">
      <c r="A239" s="219"/>
      <c r="B239" s="44" t="s">
        <v>586</v>
      </c>
      <c r="C239" s="1071" t="s">
        <v>776</v>
      </c>
      <c r="D239" s="799">
        <v>968</v>
      </c>
      <c r="E239" s="159">
        <v>1001</v>
      </c>
      <c r="F239" s="159" t="s">
        <v>775</v>
      </c>
      <c r="G239" s="815"/>
      <c r="H239" s="852"/>
      <c r="I239" s="371">
        <f>I240</f>
        <v>9259.7999999999993</v>
      </c>
      <c r="J239" s="365"/>
      <c r="K239" s="349"/>
      <c r="L239" s="349"/>
      <c r="M239" s="388"/>
    </row>
    <row r="240" spans="1:13" ht="24.75" hidden="1" customHeight="1" x14ac:dyDescent="0.2">
      <c r="A240" s="219"/>
      <c r="B240" s="3" t="s">
        <v>587</v>
      </c>
      <c r="C240" s="1079" t="s">
        <v>585</v>
      </c>
      <c r="D240" s="800">
        <v>968</v>
      </c>
      <c r="E240" s="742">
        <v>1001</v>
      </c>
      <c r="F240" s="742" t="s">
        <v>775</v>
      </c>
      <c r="G240" s="801">
        <v>714</v>
      </c>
      <c r="H240" s="852"/>
      <c r="I240" s="370">
        <f>Бюд.р.!H561</f>
        <v>9259.7999999999993</v>
      </c>
      <c r="J240" s="365"/>
      <c r="K240" s="349"/>
      <c r="L240" s="349"/>
      <c r="M240" s="388"/>
    </row>
    <row r="241" spans="1:13" ht="19.5" customHeight="1" x14ac:dyDescent="0.25">
      <c r="A241" s="219"/>
      <c r="B241" s="1052" t="s">
        <v>584</v>
      </c>
      <c r="C241" s="1070" t="s">
        <v>1097</v>
      </c>
      <c r="D241" s="1045" t="s">
        <v>696</v>
      </c>
      <c r="E241" s="1054" t="s">
        <v>1101</v>
      </c>
      <c r="F241" s="1049"/>
      <c r="G241" s="1050"/>
      <c r="H241" s="1051"/>
      <c r="I241" s="1046">
        <f>I242</f>
        <v>970.2</v>
      </c>
      <c r="J241" s="365"/>
      <c r="K241" s="349"/>
      <c r="L241" s="349"/>
      <c r="M241" s="388"/>
    </row>
    <row r="242" spans="1:13" ht="24.75" customHeight="1" x14ac:dyDescent="0.2">
      <c r="A242" s="219"/>
      <c r="B242" s="44" t="s">
        <v>588</v>
      </c>
      <c r="C242" s="914" t="s">
        <v>1098</v>
      </c>
      <c r="D242" s="781" t="s">
        <v>696</v>
      </c>
      <c r="E242" s="58" t="s">
        <v>1101</v>
      </c>
      <c r="F242" s="159" t="s">
        <v>1099</v>
      </c>
      <c r="G242" s="463"/>
      <c r="H242" s="842"/>
      <c r="I242" s="825">
        <f>I243</f>
        <v>970.2</v>
      </c>
      <c r="J242" s="365"/>
      <c r="K242" s="349"/>
      <c r="L242" s="349"/>
      <c r="M242" s="388"/>
    </row>
    <row r="243" spans="1:13" ht="21" customHeight="1" x14ac:dyDescent="0.2">
      <c r="A243" s="219"/>
      <c r="B243" s="3" t="s">
        <v>589</v>
      </c>
      <c r="C243" s="828" t="s">
        <v>1197</v>
      </c>
      <c r="D243" s="783" t="s">
        <v>696</v>
      </c>
      <c r="E243" s="187" t="s">
        <v>1101</v>
      </c>
      <c r="F243" s="1165" t="s">
        <v>1099</v>
      </c>
      <c r="G243" s="826">
        <v>314</v>
      </c>
      <c r="H243" s="851"/>
      <c r="I243" s="827">
        <f>Бюд.р.!H532</f>
        <v>970.2</v>
      </c>
      <c r="J243" s="365"/>
      <c r="K243" s="349"/>
      <c r="L243" s="349"/>
      <c r="M243" s="388"/>
    </row>
    <row r="244" spans="1:13" ht="15" customHeight="1" x14ac:dyDescent="0.25">
      <c r="A244" s="219"/>
      <c r="B244" s="1092" t="s">
        <v>584</v>
      </c>
      <c r="C244" s="1105" t="s">
        <v>779</v>
      </c>
      <c r="D244" s="1093" t="s">
        <v>696</v>
      </c>
      <c r="E244" s="1099" t="s">
        <v>922</v>
      </c>
      <c r="F244" s="1101"/>
      <c r="G244" s="1102"/>
      <c r="H244" s="1106"/>
      <c r="I244" s="1095">
        <f>I245+I247+I249</f>
        <v>15686.715999999999</v>
      </c>
      <c r="J244" s="358" t="e">
        <f>J247</f>
        <v>#REF!</v>
      </c>
      <c r="K244" s="152" t="e">
        <f>K248+K249</f>
        <v>#REF!</v>
      </c>
      <c r="L244" s="152" t="e">
        <f>L248+L249</f>
        <v>#REF!</v>
      </c>
      <c r="M244" s="382" t="e">
        <f>M248+M249</f>
        <v>#REF!</v>
      </c>
    </row>
    <row r="245" spans="1:13" ht="22.5" customHeight="1" x14ac:dyDescent="0.2">
      <c r="A245" s="219"/>
      <c r="B245" s="44" t="s">
        <v>588</v>
      </c>
      <c r="C245" s="914" t="s">
        <v>73</v>
      </c>
      <c r="D245" s="781" t="s">
        <v>696</v>
      </c>
      <c r="E245" s="58" t="s">
        <v>922</v>
      </c>
      <c r="F245" s="159" t="s">
        <v>71</v>
      </c>
      <c r="G245" s="463"/>
      <c r="H245" s="842"/>
      <c r="I245" s="825">
        <f>I246</f>
        <v>3469.0160000000001</v>
      </c>
      <c r="J245" s="358"/>
      <c r="K245" s="358"/>
      <c r="L245" s="358"/>
      <c r="M245" s="1164"/>
    </row>
    <row r="246" spans="1:13" ht="23.25" customHeight="1" x14ac:dyDescent="0.2">
      <c r="A246" s="219"/>
      <c r="B246" s="3" t="s">
        <v>589</v>
      </c>
      <c r="C246" s="910" t="s">
        <v>885</v>
      </c>
      <c r="D246" s="783" t="s">
        <v>696</v>
      </c>
      <c r="E246" s="187" t="s">
        <v>922</v>
      </c>
      <c r="F246" s="1165" t="s">
        <v>71</v>
      </c>
      <c r="G246" s="826">
        <v>598</v>
      </c>
      <c r="H246" s="851"/>
      <c r="I246" s="827">
        <f>Бюд.р.!H538</f>
        <v>3469.0160000000001</v>
      </c>
      <c r="J246" s="358"/>
      <c r="K246" s="358"/>
      <c r="L246" s="358"/>
      <c r="M246" s="1164"/>
    </row>
    <row r="247" spans="1:13" ht="18" customHeight="1" x14ac:dyDescent="0.2">
      <c r="A247" s="219"/>
      <c r="B247" s="44" t="s">
        <v>588</v>
      </c>
      <c r="C247" s="1068" t="s">
        <v>59</v>
      </c>
      <c r="D247" s="781" t="s">
        <v>696</v>
      </c>
      <c r="E247" s="58" t="s">
        <v>922</v>
      </c>
      <c r="F247" s="59" t="s">
        <v>60</v>
      </c>
      <c r="G247" s="815"/>
      <c r="H247" s="852"/>
      <c r="I247" s="371">
        <f>I248</f>
        <v>9259.7999999999993</v>
      </c>
      <c r="J247" s="359" t="e">
        <f>J248+J249</f>
        <v>#REF!</v>
      </c>
      <c r="K247" s="359" t="e">
        <f>K248+K249</f>
        <v>#REF!</v>
      </c>
      <c r="L247" s="359" t="e">
        <f>L248+L249</f>
        <v>#REF!</v>
      </c>
      <c r="M247" s="359" t="e">
        <f>M248+M249</f>
        <v>#REF!</v>
      </c>
    </row>
    <row r="248" spans="1:13" ht="24.75" customHeight="1" x14ac:dyDescent="0.2">
      <c r="A248" s="219"/>
      <c r="B248" s="3" t="s">
        <v>589</v>
      </c>
      <c r="C248" s="1069" t="s">
        <v>885</v>
      </c>
      <c r="D248" s="783" t="s">
        <v>696</v>
      </c>
      <c r="E248" s="187" t="s">
        <v>922</v>
      </c>
      <c r="F248" s="34" t="s">
        <v>60</v>
      </c>
      <c r="G248" s="771">
        <v>598</v>
      </c>
      <c r="H248" s="852"/>
      <c r="I248" s="370">
        <f>Бюд.р.!H559</f>
        <v>9259.7999999999993</v>
      </c>
      <c r="J248" s="359" t="e">
        <f>#REF!</f>
        <v>#REF!</v>
      </c>
      <c r="K248" s="186" t="e">
        <f>#REF!</f>
        <v>#REF!</v>
      </c>
      <c r="L248" s="186" t="e">
        <f>#REF!</f>
        <v>#REF!</v>
      </c>
      <c r="M248" s="383" t="e">
        <f>#REF!</f>
        <v>#REF!</v>
      </c>
    </row>
    <row r="249" spans="1:13" ht="25.5" customHeight="1" x14ac:dyDescent="0.2">
      <c r="A249" s="49" t="s">
        <v>287</v>
      </c>
      <c r="B249" s="44" t="s">
        <v>1093</v>
      </c>
      <c r="C249" s="1068" t="s">
        <v>635</v>
      </c>
      <c r="D249" s="781" t="s">
        <v>696</v>
      </c>
      <c r="E249" s="58" t="s">
        <v>922</v>
      </c>
      <c r="F249" s="59" t="s">
        <v>61</v>
      </c>
      <c r="G249" s="815"/>
      <c r="H249" s="857"/>
      <c r="I249" s="825">
        <f>I250</f>
        <v>2957.9</v>
      </c>
      <c r="J249" s="359">
        <f>J250</f>
        <v>272.60000000000002</v>
      </c>
      <c r="K249" s="359">
        <f>K250</f>
        <v>287.8</v>
      </c>
      <c r="L249" s="359">
        <f>L250</f>
        <v>287.7</v>
      </c>
      <c r="M249" s="359">
        <f>M250</f>
        <v>287.7</v>
      </c>
    </row>
    <row r="250" spans="1:13" ht="24.75" customHeight="1" thickBot="1" x14ac:dyDescent="0.25">
      <c r="A250" s="420"/>
      <c r="B250" s="1043" t="s">
        <v>1094</v>
      </c>
      <c r="C250" s="1073" t="s">
        <v>885</v>
      </c>
      <c r="D250" s="819" t="s">
        <v>696</v>
      </c>
      <c r="E250" s="539" t="s">
        <v>922</v>
      </c>
      <c r="F250" s="540" t="s">
        <v>61</v>
      </c>
      <c r="G250" s="820">
        <v>598</v>
      </c>
      <c r="H250" s="856"/>
      <c r="I250" s="541">
        <f>Бюд.р.!H565</f>
        <v>2957.9</v>
      </c>
      <c r="J250" s="389">
        <v>272.60000000000002</v>
      </c>
      <c r="K250" s="390">
        <v>287.8</v>
      </c>
      <c r="L250" s="390">
        <v>287.7</v>
      </c>
      <c r="M250" s="391">
        <v>287.7</v>
      </c>
    </row>
    <row r="251" spans="1:13" ht="28.5" hidden="1" customHeight="1" thickBot="1" x14ac:dyDescent="0.25">
      <c r="A251" s="420"/>
      <c r="B251" s="542"/>
      <c r="C251" s="895" t="s">
        <v>984</v>
      </c>
      <c r="D251" s="884">
        <v>917</v>
      </c>
      <c r="E251" s="764"/>
      <c r="F251" s="546"/>
      <c r="G251" s="770"/>
      <c r="H251" s="872"/>
      <c r="I251" s="885">
        <f>I252</f>
        <v>0</v>
      </c>
      <c r="J251" s="389"/>
      <c r="K251" s="389"/>
      <c r="L251" s="389"/>
      <c r="M251" s="537"/>
    </row>
    <row r="252" spans="1:13" ht="28.5" hidden="1" customHeight="1" thickBot="1" x14ac:dyDescent="0.25">
      <c r="A252" s="420"/>
      <c r="B252" s="839" t="s">
        <v>738</v>
      </c>
      <c r="C252" s="926" t="s">
        <v>122</v>
      </c>
      <c r="D252" s="927">
        <v>917</v>
      </c>
      <c r="E252" s="927">
        <v>100</v>
      </c>
      <c r="F252" s="932"/>
      <c r="G252" s="933"/>
      <c r="H252" s="934"/>
      <c r="I252" s="936">
        <f>I253</f>
        <v>0</v>
      </c>
      <c r="J252" s="389"/>
      <c r="K252" s="389"/>
      <c r="L252" s="389"/>
      <c r="M252" s="537"/>
    </row>
    <row r="253" spans="1:13" ht="30" hidden="1" customHeight="1" thickBot="1" x14ac:dyDescent="0.25">
      <c r="A253" s="420"/>
      <c r="B253" s="836" t="s">
        <v>86</v>
      </c>
      <c r="C253" s="928" t="s">
        <v>28</v>
      </c>
      <c r="D253" s="929">
        <v>917</v>
      </c>
      <c r="E253" s="929">
        <v>107</v>
      </c>
      <c r="F253" s="930"/>
      <c r="G253" s="931"/>
      <c r="H253" s="935"/>
      <c r="I253" s="937">
        <f>I254</f>
        <v>0</v>
      </c>
      <c r="J253" s="389"/>
      <c r="K253" s="389"/>
      <c r="L253" s="389"/>
      <c r="M253" s="537"/>
    </row>
    <row r="254" spans="1:13" ht="30" hidden="1" customHeight="1" thickBot="1" x14ac:dyDescent="0.25">
      <c r="A254" s="420"/>
      <c r="B254" s="44" t="s">
        <v>87</v>
      </c>
      <c r="C254" s="487" t="s">
        <v>161</v>
      </c>
      <c r="D254" s="166">
        <v>917</v>
      </c>
      <c r="E254" s="166">
        <v>107</v>
      </c>
      <c r="F254" s="166" t="s">
        <v>162</v>
      </c>
      <c r="G254" s="166"/>
      <c r="H254" s="551"/>
      <c r="I254" s="833">
        <f>I255</f>
        <v>0</v>
      </c>
      <c r="J254" s="389"/>
      <c r="K254" s="389"/>
      <c r="L254" s="389"/>
      <c r="M254" s="537"/>
    </row>
    <row r="255" spans="1:13" ht="14.25" hidden="1" customHeight="1" thickBot="1" x14ac:dyDescent="0.25">
      <c r="A255" s="420"/>
      <c r="B255" s="3" t="s">
        <v>88</v>
      </c>
      <c r="C255" s="490" t="s">
        <v>469</v>
      </c>
      <c r="D255" s="742">
        <v>917</v>
      </c>
      <c r="E255" s="742">
        <v>107</v>
      </c>
      <c r="F255" s="742" t="s">
        <v>162</v>
      </c>
      <c r="G255" s="742">
        <v>500</v>
      </c>
      <c r="H255" s="551"/>
      <c r="I255" s="858">
        <f>Бюд.р.!H572</f>
        <v>0</v>
      </c>
      <c r="J255" s="389"/>
      <c r="K255" s="389"/>
      <c r="L255" s="389"/>
      <c r="M255" s="537"/>
    </row>
    <row r="256" spans="1:13" ht="14.25" customHeight="1" thickBot="1" x14ac:dyDescent="0.25">
      <c r="A256" s="420"/>
      <c r="B256" s="1132" t="s">
        <v>1028</v>
      </c>
      <c r="C256" s="1133" t="s">
        <v>1018</v>
      </c>
      <c r="D256" s="1134">
        <v>968</v>
      </c>
      <c r="E256" s="1134">
        <v>1100</v>
      </c>
      <c r="F256" s="1134"/>
      <c r="G256" s="1134"/>
      <c r="H256" s="1135"/>
      <c r="I256" s="1118">
        <f>I257</f>
        <v>3557.8850000000002</v>
      </c>
      <c r="J256" s="389"/>
      <c r="K256" s="389"/>
      <c r="L256" s="389"/>
      <c r="M256" s="537"/>
    </row>
    <row r="257" spans="1:13" ht="14.25" customHeight="1" thickBot="1" x14ac:dyDescent="0.25">
      <c r="A257" s="420"/>
      <c r="B257" s="1107" t="s">
        <v>38</v>
      </c>
      <c r="C257" s="1108" t="s">
        <v>1019</v>
      </c>
      <c r="D257" s="1109">
        <v>968</v>
      </c>
      <c r="E257" s="1109">
        <v>1102</v>
      </c>
      <c r="F257" s="1109"/>
      <c r="G257" s="1109"/>
      <c r="H257" s="1110"/>
      <c r="I257" s="1111">
        <f>I258</f>
        <v>3557.8850000000002</v>
      </c>
      <c r="J257" s="389"/>
      <c r="K257" s="389"/>
      <c r="L257" s="389"/>
      <c r="M257" s="537"/>
    </row>
    <row r="258" spans="1:13" ht="33.75" customHeight="1" thickBot="1" x14ac:dyDescent="0.25">
      <c r="A258" s="420"/>
      <c r="B258" s="44" t="s">
        <v>588</v>
      </c>
      <c r="C258" s="914" t="s">
        <v>778</v>
      </c>
      <c r="D258" s="159">
        <v>968</v>
      </c>
      <c r="E258" s="159">
        <v>1102</v>
      </c>
      <c r="F258" s="159" t="str">
        <f>F259</f>
        <v>487 01 00</v>
      </c>
      <c r="G258" s="159"/>
      <c r="H258" s="1081"/>
      <c r="I258" s="825">
        <f>I259</f>
        <v>3557.8850000000002</v>
      </c>
      <c r="J258" s="389"/>
      <c r="K258" s="389"/>
      <c r="L258" s="389"/>
      <c r="M258" s="537"/>
    </row>
    <row r="259" spans="1:13" ht="14.25" customHeight="1" thickBot="1" x14ac:dyDescent="0.25">
      <c r="A259" s="420"/>
      <c r="B259" s="1039" t="s">
        <v>43</v>
      </c>
      <c r="C259" s="828" t="s">
        <v>1118</v>
      </c>
      <c r="D259" s="1067">
        <v>968</v>
      </c>
      <c r="E259" s="1067">
        <v>1102</v>
      </c>
      <c r="F259" s="1067" t="s">
        <v>1141</v>
      </c>
      <c r="G259" s="1067">
        <v>240</v>
      </c>
      <c r="H259" s="1040"/>
      <c r="I259" s="1066">
        <f>Бюд.р.!H584</f>
        <v>3557.8850000000002</v>
      </c>
      <c r="J259" s="389"/>
      <c r="K259" s="389"/>
      <c r="L259" s="389"/>
      <c r="M259" s="537"/>
    </row>
    <row r="260" spans="1:13" ht="14.25" customHeight="1" thickBot="1" x14ac:dyDescent="0.25">
      <c r="A260" s="420"/>
      <c r="B260" s="1132" t="s">
        <v>1029</v>
      </c>
      <c r="C260" s="1115" t="s">
        <v>1020</v>
      </c>
      <c r="D260" s="1134">
        <v>968</v>
      </c>
      <c r="E260" s="1134">
        <v>1200</v>
      </c>
      <c r="F260" s="1134"/>
      <c r="G260" s="1134"/>
      <c r="H260" s="1135"/>
      <c r="I260" s="1118">
        <f>I261</f>
        <v>1800</v>
      </c>
      <c r="J260" s="389"/>
      <c r="K260" s="389"/>
      <c r="L260" s="389"/>
      <c r="M260" s="537"/>
    </row>
    <row r="261" spans="1:13" ht="14.25" customHeight="1" thickBot="1" x14ac:dyDescent="0.25">
      <c r="A261" s="420"/>
      <c r="B261" s="1107" t="s">
        <v>86</v>
      </c>
      <c r="C261" s="1112" t="s">
        <v>773</v>
      </c>
      <c r="D261" s="1113">
        <v>968</v>
      </c>
      <c r="E261" s="1113">
        <v>1202</v>
      </c>
      <c r="F261" s="1113"/>
      <c r="G261" s="1113"/>
      <c r="H261" s="1110"/>
      <c r="I261" s="1114">
        <f>I262</f>
        <v>1800</v>
      </c>
      <c r="J261" s="389"/>
      <c r="K261" s="389"/>
      <c r="L261" s="389"/>
      <c r="M261" s="537"/>
    </row>
    <row r="262" spans="1:13" ht="24.75" customHeight="1" thickBot="1" x14ac:dyDescent="0.25">
      <c r="A262" s="420"/>
      <c r="B262" s="44" t="s">
        <v>87</v>
      </c>
      <c r="C262" s="914" t="s">
        <v>1162</v>
      </c>
      <c r="D262" s="830">
        <v>968</v>
      </c>
      <c r="E262" s="830">
        <v>1202</v>
      </c>
      <c r="F262" s="830" t="s">
        <v>777</v>
      </c>
      <c r="G262" s="830"/>
      <c r="H262" s="1044"/>
      <c r="I262" s="1042">
        <f>I263</f>
        <v>1800</v>
      </c>
      <c r="J262" s="389"/>
      <c r="K262" s="389"/>
      <c r="L262" s="389"/>
      <c r="M262" s="537"/>
    </row>
    <row r="263" spans="1:13" ht="14.25" customHeight="1" thickBot="1" x14ac:dyDescent="0.25">
      <c r="A263" s="420"/>
      <c r="B263" s="1080" t="s">
        <v>88</v>
      </c>
      <c r="C263" s="828" t="s">
        <v>1118</v>
      </c>
      <c r="D263" s="826">
        <v>968</v>
      </c>
      <c r="E263" s="826">
        <v>1202</v>
      </c>
      <c r="F263" s="826" t="s">
        <v>777</v>
      </c>
      <c r="G263" s="826">
        <v>240</v>
      </c>
      <c r="H263" s="1040"/>
      <c r="I263" s="1041">
        <f>Бюд.р.!H594</f>
        <v>1800</v>
      </c>
      <c r="J263" s="389"/>
      <c r="K263" s="389"/>
      <c r="L263" s="389"/>
      <c r="M263" s="537"/>
    </row>
    <row r="264" spans="1:13" ht="18" customHeight="1" thickBot="1" x14ac:dyDescent="0.3">
      <c r="A264" s="420"/>
      <c r="B264" s="542"/>
      <c r="C264" s="543" t="s">
        <v>348</v>
      </c>
      <c r="D264" s="544"/>
      <c r="E264" s="545"/>
      <c r="F264" s="546"/>
      <c r="G264" s="547"/>
      <c r="H264" s="545"/>
      <c r="I264" s="548" t="e">
        <f>I32+I65</f>
        <v>#REF!</v>
      </c>
      <c r="J264" s="389"/>
      <c r="K264" s="389"/>
      <c r="L264" s="389"/>
      <c r="M264" s="537"/>
    </row>
    <row r="265" spans="1:13" ht="29.25" hidden="1" customHeight="1" thickBot="1" x14ac:dyDescent="0.25">
      <c r="A265" s="420"/>
      <c r="B265" s="542"/>
      <c r="C265" s="549" t="s">
        <v>887</v>
      </c>
      <c r="D265" s="544"/>
      <c r="E265" s="545"/>
      <c r="F265" s="546"/>
      <c r="G265" s="547"/>
      <c r="H265" s="545"/>
      <c r="I265" s="548">
        <f>кв!D103</f>
        <v>6999.9999999999836</v>
      </c>
      <c r="J265" s="389"/>
      <c r="K265" s="389"/>
      <c r="L265" s="389"/>
      <c r="M265" s="537"/>
    </row>
    <row r="266" spans="1:13" ht="24.75" customHeight="1" thickBot="1" x14ac:dyDescent="0.25">
      <c r="A266" s="420"/>
      <c r="B266" s="550"/>
      <c r="C266" s="552" t="s">
        <v>388</v>
      </c>
      <c r="D266" s="553"/>
      <c r="E266" s="554"/>
      <c r="F266" s="2996" t="s">
        <v>84</v>
      </c>
      <c r="G266" s="2996"/>
      <c r="H266" s="2996"/>
      <c r="I266" s="2996"/>
      <c r="J266" s="389"/>
      <c r="K266" s="389"/>
      <c r="L266" s="389"/>
      <c r="M266" s="537"/>
    </row>
    <row r="267" spans="1:13" ht="24.75" customHeight="1" thickBot="1" x14ac:dyDescent="0.25">
      <c r="A267" s="420"/>
      <c r="B267" s="550"/>
      <c r="C267" s="552" t="s">
        <v>389</v>
      </c>
      <c r="D267" s="553"/>
      <c r="E267" s="554"/>
      <c r="F267" s="2996" t="s">
        <v>390</v>
      </c>
      <c r="G267" s="2996"/>
      <c r="H267" s="2996"/>
      <c r="I267" s="2996"/>
      <c r="J267" s="389"/>
      <c r="K267" s="389"/>
      <c r="L267" s="389"/>
      <c r="M267" s="537"/>
    </row>
    <row r="268" spans="1:13" hidden="1" x14ac:dyDescent="0.2">
      <c r="A268" s="50" t="s">
        <v>120</v>
      </c>
      <c r="B268" s="372"/>
      <c r="C268" s="373" t="s">
        <v>312</v>
      </c>
      <c r="D268" s="374"/>
      <c r="E268" s="375" t="s">
        <v>922</v>
      </c>
      <c r="F268" s="376" t="s">
        <v>472</v>
      </c>
      <c r="G268" s="376">
        <v>755</v>
      </c>
      <c r="H268" s="375" t="s">
        <v>296</v>
      </c>
      <c r="I268" s="366">
        <f t="shared" ref="I268:I286" si="3">SUM(J268:M268)</f>
        <v>0</v>
      </c>
      <c r="J268" s="377"/>
      <c r="K268" s="377"/>
      <c r="L268" s="377"/>
      <c r="M268" s="377"/>
    </row>
    <row r="269" spans="1:13" ht="23.25" hidden="1" thickBot="1" x14ac:dyDescent="0.25">
      <c r="A269" s="56" t="s">
        <v>783</v>
      </c>
      <c r="B269" s="229"/>
      <c r="C269" s="230" t="s">
        <v>923</v>
      </c>
      <c r="D269" s="28"/>
      <c r="E269" s="14" t="s">
        <v>922</v>
      </c>
      <c r="F269" s="14" t="s">
        <v>472</v>
      </c>
      <c r="G269" s="14" t="s">
        <v>344</v>
      </c>
      <c r="H269" s="14" t="s">
        <v>345</v>
      </c>
      <c r="I269" s="341">
        <f t="shared" si="3"/>
        <v>0</v>
      </c>
      <c r="J269" s="338"/>
      <c r="K269" s="338"/>
      <c r="L269" s="338"/>
      <c r="M269" s="338"/>
    </row>
    <row r="270" spans="1:13" ht="21" hidden="1" customHeight="1" thickBot="1" x14ac:dyDescent="0.3">
      <c r="A270" s="220"/>
      <c r="B270" s="231"/>
      <c r="C270" s="234" t="s">
        <v>348</v>
      </c>
      <c r="D270" s="232"/>
      <c r="E270" s="233"/>
      <c r="F270" s="233"/>
      <c r="G270" s="233"/>
      <c r="H270" s="233"/>
      <c r="I270" s="341">
        <f t="shared" si="3"/>
        <v>0</v>
      </c>
      <c r="J270" s="339"/>
      <c r="K270" s="339"/>
      <c r="L270" s="339"/>
      <c r="M270" s="339"/>
    </row>
    <row r="271" spans="1:13" hidden="1" x14ac:dyDescent="0.2">
      <c r="C271" t="s">
        <v>964</v>
      </c>
      <c r="I271" s="341">
        <f t="shared" si="3"/>
        <v>0</v>
      </c>
      <c r="J271" s="40"/>
      <c r="K271" s="40"/>
      <c r="L271" s="40"/>
      <c r="M271" s="40"/>
    </row>
    <row r="272" spans="1:13" hidden="1" x14ac:dyDescent="0.2">
      <c r="C272" s="29" t="s">
        <v>935</v>
      </c>
      <c r="D272" s="29"/>
      <c r="E272" s="29"/>
      <c r="F272" s="29"/>
      <c r="G272" s="29"/>
      <c r="H272" s="29"/>
      <c r="I272" s="341">
        <f t="shared" si="3"/>
        <v>0</v>
      </c>
      <c r="J272" s="29"/>
      <c r="K272" s="29"/>
      <c r="L272" s="29"/>
      <c r="M272" s="29"/>
    </row>
    <row r="273" spans="2:13" hidden="1" x14ac:dyDescent="0.2">
      <c r="C273" t="s">
        <v>963</v>
      </c>
      <c r="I273" s="341">
        <f t="shared" si="3"/>
        <v>0</v>
      </c>
    </row>
    <row r="274" spans="2:13" hidden="1" x14ac:dyDescent="0.2">
      <c r="C274" t="s">
        <v>934</v>
      </c>
      <c r="I274" s="341">
        <f t="shared" si="3"/>
        <v>0</v>
      </c>
    </row>
    <row r="275" spans="2:13" hidden="1" x14ac:dyDescent="0.2">
      <c r="C275" t="s">
        <v>933</v>
      </c>
      <c r="I275" s="341">
        <f t="shared" si="3"/>
        <v>0</v>
      </c>
    </row>
    <row r="276" spans="2:13" hidden="1" x14ac:dyDescent="0.2">
      <c r="I276" s="341">
        <f t="shared" si="3"/>
        <v>0</v>
      </c>
    </row>
    <row r="277" spans="2:13" hidden="1" x14ac:dyDescent="0.2">
      <c r="C277" s="180" t="s">
        <v>938</v>
      </c>
      <c r="D277" s="142"/>
      <c r="E277" s="142"/>
      <c r="F277" s="142"/>
      <c r="G277" s="142"/>
      <c r="H277" s="142"/>
      <c r="I277" s="341">
        <f t="shared" si="3"/>
        <v>0</v>
      </c>
      <c r="J277" s="142"/>
      <c r="K277" s="142"/>
      <c r="L277" s="142"/>
      <c r="M277" s="142"/>
    </row>
    <row r="278" spans="2:13" hidden="1" x14ac:dyDescent="0.2">
      <c r="C278" s="176" t="s">
        <v>936</v>
      </c>
      <c r="D278" s="40"/>
      <c r="E278" s="40"/>
      <c r="F278" s="40" t="e">
        <f>#REF!-#REF!</f>
        <v>#REF!</v>
      </c>
      <c r="G278" s="40"/>
      <c r="H278" s="40"/>
      <c r="I278" s="341">
        <f t="shared" si="3"/>
        <v>0</v>
      </c>
      <c r="J278" s="40"/>
      <c r="K278" s="40"/>
      <c r="L278" s="40"/>
      <c r="M278" s="40"/>
    </row>
    <row r="279" spans="2:13" ht="13.5" hidden="1" thickBot="1" x14ac:dyDescent="0.25">
      <c r="C279" s="177" t="s">
        <v>932</v>
      </c>
      <c r="D279" s="178"/>
      <c r="E279" s="178"/>
      <c r="F279" s="40" t="e">
        <f>#REF!-#REF!</f>
        <v>#REF!</v>
      </c>
      <c r="G279" s="178"/>
      <c r="H279" s="178"/>
      <c r="I279" s="341">
        <f t="shared" si="3"/>
        <v>0</v>
      </c>
      <c r="J279" s="178"/>
      <c r="K279" s="178"/>
      <c r="L279" s="178"/>
      <c r="M279" s="178"/>
    </row>
    <row r="280" spans="2:13" hidden="1" x14ac:dyDescent="0.2">
      <c r="C280" s="180" t="s">
        <v>937</v>
      </c>
      <c r="D280" s="142"/>
      <c r="E280" s="142"/>
      <c r="F280" s="142"/>
      <c r="G280" s="142"/>
      <c r="H280" s="142"/>
      <c r="I280" s="341">
        <f t="shared" si="3"/>
        <v>0</v>
      </c>
      <c r="J280" s="142"/>
      <c r="K280" s="142"/>
      <c r="L280" s="142"/>
      <c r="M280" s="142"/>
    </row>
    <row r="281" spans="2:13" hidden="1" x14ac:dyDescent="0.2">
      <c r="C281" s="176" t="s">
        <v>936</v>
      </c>
      <c r="D281" s="40"/>
      <c r="E281" s="40"/>
      <c r="F281" s="174" t="e">
        <f>#REF!-#REF!</f>
        <v>#REF!</v>
      </c>
      <c r="G281" s="40"/>
      <c r="H281" s="40"/>
      <c r="I281" s="341">
        <f t="shared" si="3"/>
        <v>0</v>
      </c>
      <c r="J281" s="174"/>
      <c r="K281" s="174"/>
      <c r="L281" s="174"/>
      <c r="M281" s="174"/>
    </row>
    <row r="282" spans="2:13" ht="13.5" hidden="1" thickBot="1" x14ac:dyDescent="0.25">
      <c r="C282" s="177" t="s">
        <v>932</v>
      </c>
      <c r="D282" s="178"/>
      <c r="E282" s="178"/>
      <c r="F282" s="179" t="e">
        <f>#REF!-#REF!</f>
        <v>#REF!</v>
      </c>
      <c r="G282" s="178"/>
      <c r="H282" s="178"/>
      <c r="I282" s="341">
        <f t="shared" si="3"/>
        <v>0</v>
      </c>
      <c r="J282" s="179"/>
      <c r="K282" s="179"/>
      <c r="L282" s="179"/>
      <c r="M282" s="179"/>
    </row>
    <row r="283" spans="2:13" hidden="1" x14ac:dyDescent="0.2">
      <c r="I283" s="341">
        <f t="shared" si="3"/>
        <v>0</v>
      </c>
      <c r="J283" s="175"/>
      <c r="K283" s="175"/>
      <c r="L283" s="175"/>
      <c r="M283" s="175"/>
    </row>
    <row r="284" spans="2:13" hidden="1" x14ac:dyDescent="0.2">
      <c r="C284" t="s">
        <v>369</v>
      </c>
      <c r="I284" s="341">
        <f t="shared" si="3"/>
        <v>0</v>
      </c>
    </row>
    <row r="285" spans="2:13" hidden="1" x14ac:dyDescent="0.2">
      <c r="C285" t="s">
        <v>370</v>
      </c>
      <c r="I285" s="341">
        <f t="shared" si="3"/>
        <v>0</v>
      </c>
    </row>
    <row r="286" spans="2:13" hidden="1" x14ac:dyDescent="0.2">
      <c r="C286" t="s">
        <v>371</v>
      </c>
      <c r="I286" s="421">
        <f t="shared" si="3"/>
        <v>0</v>
      </c>
    </row>
    <row r="287" spans="2:13" x14ac:dyDescent="0.2">
      <c r="B287" s="538"/>
      <c r="C287" s="538"/>
      <c r="D287" s="538"/>
      <c r="E287" s="538"/>
      <c r="F287" s="538"/>
      <c r="G287" s="538"/>
      <c r="H287" s="538"/>
      <c r="I287" s="419"/>
    </row>
    <row r="288" spans="2:13" x14ac:dyDescent="0.2">
      <c r="B288" s="40"/>
      <c r="C288" s="40"/>
      <c r="D288" s="40"/>
      <c r="E288" s="40"/>
      <c r="F288" s="40"/>
      <c r="G288" s="40"/>
      <c r="H288" s="40"/>
      <c r="I288" s="419"/>
      <c r="J288" s="40"/>
      <c r="K288" s="40"/>
      <c r="L288" s="40"/>
      <c r="M288" s="40"/>
    </row>
  </sheetData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honeticPr fontId="11" type="noConversion"/>
  <pageMargins left="0.53" right="0.24" top="0.42" bottom="0.3" header="0.17" footer="0.3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108"/>
  <sheetViews>
    <sheetView tabSelected="1" zoomScale="93" zoomScaleNormal="93" zoomScaleSheetLayoutView="100" workbookViewId="0">
      <selection activeCell="K79" sqref="K79"/>
    </sheetView>
  </sheetViews>
  <sheetFormatPr defaultRowHeight="12.75" x14ac:dyDescent="0.2"/>
  <cols>
    <col min="1" max="1" width="6.28515625" customWidth="1"/>
    <col min="2" max="2" width="5" customWidth="1"/>
    <col min="3" max="3" width="23.85546875" customWidth="1"/>
    <col min="4" max="4" width="53.85546875" customWidth="1"/>
    <col min="5" max="5" width="10.85546875" customWidth="1"/>
    <col min="6" max="6" width="9.28515625" hidden="1" customWidth="1"/>
    <col min="7" max="7" width="9.7109375" hidden="1" customWidth="1"/>
    <col min="8" max="8" width="9.5703125" hidden="1" customWidth="1"/>
    <col min="9" max="9" width="9.28515625" hidden="1" customWidth="1"/>
  </cols>
  <sheetData>
    <row r="1" spans="1:9" x14ac:dyDescent="0.2">
      <c r="A1" s="3009"/>
      <c r="B1" s="3009"/>
      <c r="C1" s="3009"/>
      <c r="D1" s="3003" t="s">
        <v>1108</v>
      </c>
      <c r="E1" s="3003"/>
    </row>
    <row r="2" spans="1:9" ht="15.75" x14ac:dyDescent="0.25">
      <c r="D2" s="3003" t="s">
        <v>470</v>
      </c>
      <c r="E2" s="3003"/>
      <c r="I2" s="17"/>
    </row>
    <row r="3" spans="1:9" x14ac:dyDescent="0.2">
      <c r="D3" s="3003" t="s">
        <v>1543</v>
      </c>
      <c r="E3" s="3003"/>
      <c r="F3" s="1"/>
      <c r="G3" s="1"/>
      <c r="H3" s="1"/>
      <c r="I3" s="1"/>
    </row>
    <row r="4" spans="1:9" ht="12.75" customHeight="1" x14ac:dyDescent="0.2">
      <c r="D4" s="3003" t="s">
        <v>1455</v>
      </c>
      <c r="E4" s="3003"/>
      <c r="F4" s="1"/>
      <c r="G4" s="1"/>
      <c r="H4" s="1"/>
      <c r="I4" s="1"/>
    </row>
    <row r="5" spans="1:9" ht="12.75" customHeight="1" x14ac:dyDescent="0.2">
      <c r="B5" s="1"/>
      <c r="C5" s="1"/>
      <c r="D5" s="3003" t="s">
        <v>1605</v>
      </c>
      <c r="E5" s="3003"/>
      <c r="F5" s="55"/>
      <c r="G5" s="55"/>
      <c r="H5" s="55"/>
      <c r="I5" s="55"/>
    </row>
    <row r="6" spans="1:9" ht="12.75" customHeight="1" x14ac:dyDescent="0.2">
      <c r="B6" s="775"/>
      <c r="C6" s="775"/>
      <c r="D6" s="3003" t="s">
        <v>1610</v>
      </c>
      <c r="E6" s="3003"/>
      <c r="I6" s="1"/>
    </row>
    <row r="7" spans="1:9" ht="14.25" customHeight="1" x14ac:dyDescent="0.2">
      <c r="A7" s="15"/>
      <c r="B7" s="15"/>
      <c r="C7" s="15"/>
      <c r="D7" s="3003" t="s">
        <v>1619</v>
      </c>
      <c r="E7" s="3003"/>
    </row>
    <row r="8" spans="1:9" ht="18" hidden="1" customHeight="1" x14ac:dyDescent="0.2">
      <c r="A8" s="15"/>
      <c r="D8" s="3003"/>
      <c r="E8" s="3003"/>
    </row>
    <row r="9" spans="1:9" ht="18" hidden="1" customHeight="1" x14ac:dyDescent="0.2">
      <c r="A9" s="15"/>
      <c r="D9" s="3003"/>
      <c r="E9" s="3003"/>
    </row>
    <row r="10" spans="1:9" ht="18" hidden="1" customHeight="1" x14ac:dyDescent="0.2">
      <c r="A10" s="15"/>
      <c r="D10" s="3003"/>
      <c r="E10" s="3003"/>
    </row>
    <row r="11" spans="1:9" ht="18" hidden="1" customHeight="1" x14ac:dyDescent="0.2">
      <c r="A11" s="15"/>
      <c r="D11" s="3003"/>
      <c r="E11" s="3003"/>
      <c r="F11" s="3003" t="s">
        <v>1061</v>
      </c>
      <c r="G11" s="3003"/>
      <c r="H11" s="3003" t="s">
        <v>1061</v>
      </c>
      <c r="I11" s="3003"/>
    </row>
    <row r="12" spans="1:9" ht="18" hidden="1" customHeight="1" x14ac:dyDescent="0.2">
      <c r="A12" s="15"/>
      <c r="D12" s="3003"/>
      <c r="E12" s="3003"/>
    </row>
    <row r="13" spans="1:9" ht="18" hidden="1" customHeight="1" x14ac:dyDescent="0.2">
      <c r="A13" s="15"/>
      <c r="D13" s="3003"/>
      <c r="E13" s="3003"/>
    </row>
    <row r="14" spans="1:9" ht="18" hidden="1" customHeight="1" x14ac:dyDescent="0.2">
      <c r="A14" s="15"/>
      <c r="D14" s="3003"/>
      <c r="E14" s="3003"/>
    </row>
    <row r="15" spans="1:9" ht="18" hidden="1" customHeight="1" x14ac:dyDescent="0.2">
      <c r="A15" s="15"/>
      <c r="D15" s="3003"/>
      <c r="E15" s="3003"/>
    </row>
    <row r="16" spans="1:9" ht="18" hidden="1" customHeight="1" x14ac:dyDescent="0.2">
      <c r="A16" s="15"/>
      <c r="D16" s="3003"/>
      <c r="E16" s="3003"/>
    </row>
    <row r="17" spans="1:9" ht="17.25" customHeight="1" x14ac:dyDescent="0.25">
      <c r="A17" s="3004" t="s">
        <v>782</v>
      </c>
      <c r="B17" s="3004"/>
      <c r="C17" s="3004"/>
      <c r="D17" s="3004"/>
      <c r="E17" s="3004"/>
    </row>
    <row r="18" spans="1:9" ht="19.5" customHeight="1" thickBot="1" x14ac:dyDescent="0.3">
      <c r="A18" s="3010" t="s">
        <v>1459</v>
      </c>
      <c r="B18" s="3010"/>
      <c r="C18" s="3010"/>
      <c r="D18" s="3010"/>
      <c r="E18" s="3010"/>
    </row>
    <row r="19" spans="1:9" ht="15.75" customHeight="1" thickBot="1" x14ac:dyDescent="0.25">
      <c r="A19" s="2499" t="s">
        <v>753</v>
      </c>
      <c r="B19" s="773" t="s">
        <v>321</v>
      </c>
      <c r="C19" s="774"/>
      <c r="D19" s="2531" t="s">
        <v>320</v>
      </c>
      <c r="E19" s="2005" t="s">
        <v>322</v>
      </c>
      <c r="F19" s="3005" t="s">
        <v>499</v>
      </c>
      <c r="G19" s="3001" t="s">
        <v>500</v>
      </c>
      <c r="H19" s="3001" t="s">
        <v>501</v>
      </c>
      <c r="I19" s="3007" t="s">
        <v>502</v>
      </c>
    </row>
    <row r="20" spans="1:9" ht="29.25" customHeight="1" thickBot="1" x14ac:dyDescent="0.25">
      <c r="A20" s="2500"/>
      <c r="B20" s="95" t="s">
        <v>184</v>
      </c>
      <c r="C20" s="638" t="s">
        <v>728</v>
      </c>
      <c r="D20" s="2532"/>
      <c r="E20" s="2006" t="s">
        <v>323</v>
      </c>
      <c r="F20" s="3006"/>
      <c r="G20" s="3002"/>
      <c r="H20" s="3002"/>
      <c r="I20" s="3008"/>
    </row>
    <row r="21" spans="1:9" ht="19.5" thickBot="1" x14ac:dyDescent="0.25">
      <c r="A21" s="2501" t="s">
        <v>738</v>
      </c>
      <c r="B21" s="66" t="s">
        <v>182</v>
      </c>
      <c r="C21" s="67" t="s">
        <v>181</v>
      </c>
      <c r="D21" s="63" t="s">
        <v>427</v>
      </c>
      <c r="E21" s="2007">
        <f>E22+E44</f>
        <v>101711.7</v>
      </c>
      <c r="F21" s="1989" t="e">
        <f>F23+F38+F41+F45+F52+F58+F64+F80+F85</f>
        <v>#REF!</v>
      </c>
      <c r="G21" s="276" t="e">
        <f>G23+G38+G41+G45+G52+G58+G64+G80+G85</f>
        <v>#REF!</v>
      </c>
      <c r="H21" s="276" t="e">
        <f>H23+H38+H41+H45+H52+H58+H64+H80+H85</f>
        <v>#REF!</v>
      </c>
      <c r="I21" s="277" t="e">
        <f>I23+I38+I41+I45+I52+I58+I64+I80+I85</f>
        <v>#REF!</v>
      </c>
    </row>
    <row r="22" spans="1:9" ht="19.5" thickBot="1" x14ac:dyDescent="0.25">
      <c r="A22" s="2502"/>
      <c r="B22" s="280"/>
      <c r="C22" s="281"/>
      <c r="D22" s="282" t="s">
        <v>533</v>
      </c>
      <c r="E22" s="2008">
        <f>E23+E38+E41</f>
        <v>99084.9</v>
      </c>
      <c r="F22" s="1990"/>
      <c r="G22" s="283"/>
      <c r="H22" s="283"/>
      <c r="I22" s="284"/>
    </row>
    <row r="23" spans="1:9" ht="17.25" customHeight="1" thickBot="1" x14ac:dyDescent="0.25">
      <c r="A23" s="2503">
        <v>1</v>
      </c>
      <c r="B23" s="37" t="s">
        <v>184</v>
      </c>
      <c r="C23" s="68" t="s">
        <v>183</v>
      </c>
      <c r="D23" s="141" t="s">
        <v>324</v>
      </c>
      <c r="E23" s="2009">
        <f>кв!D21</f>
        <v>59675</v>
      </c>
      <c r="F23" s="1991">
        <f>F24+F33</f>
        <v>6034</v>
      </c>
      <c r="G23" s="265">
        <f>G24+G33</f>
        <v>7053</v>
      </c>
      <c r="H23" s="265">
        <f>H24+H33</f>
        <v>6146</v>
      </c>
      <c r="I23" s="266">
        <f>I24+I33</f>
        <v>7012</v>
      </c>
    </row>
    <row r="24" spans="1:9" ht="32.25" customHeight="1" x14ac:dyDescent="0.2">
      <c r="A24" s="2504" t="s">
        <v>299</v>
      </c>
      <c r="B24" s="102" t="s">
        <v>184</v>
      </c>
      <c r="C24" s="1960" t="s">
        <v>733</v>
      </c>
      <c r="D24" s="1961" t="s">
        <v>375</v>
      </c>
      <c r="E24" s="2010">
        <f>E25+E28+E31</f>
        <v>25945</v>
      </c>
      <c r="F24" s="1178">
        <f>SUM(F25:F28)</f>
        <v>1040</v>
      </c>
      <c r="G24" s="267">
        <f>SUM(G25:G28)</f>
        <v>1321</v>
      </c>
      <c r="H24" s="267">
        <f>SUM(H25:H28)</f>
        <v>1324</v>
      </c>
      <c r="I24" s="268">
        <f>SUM(I25:I28)</f>
        <v>1420</v>
      </c>
    </row>
    <row r="25" spans="1:9" ht="26.25" customHeight="1" x14ac:dyDescent="0.2">
      <c r="A25" s="2505" t="s">
        <v>212</v>
      </c>
      <c r="B25" s="1171" t="s">
        <v>185</v>
      </c>
      <c r="C25" s="2568" t="s">
        <v>186</v>
      </c>
      <c r="D25" s="2533" t="s">
        <v>391</v>
      </c>
      <c r="E25" s="2011">
        <f>кв!D24</f>
        <v>19140</v>
      </c>
      <c r="F25" s="1175">
        <v>890</v>
      </c>
      <c r="G25" s="269">
        <v>1050</v>
      </c>
      <c r="H25" s="269">
        <v>1072</v>
      </c>
      <c r="I25" s="270">
        <v>1157</v>
      </c>
    </row>
    <row r="26" spans="1:9" ht="26.25" customHeight="1" x14ac:dyDescent="0.2">
      <c r="A26" s="675" t="s">
        <v>215</v>
      </c>
      <c r="B26" s="299" t="s">
        <v>185</v>
      </c>
      <c r="C26" s="74" t="s">
        <v>1040</v>
      </c>
      <c r="D26" s="2534" t="s">
        <v>391</v>
      </c>
      <c r="E26" s="2012">
        <f>кв!D25</f>
        <v>19137</v>
      </c>
      <c r="F26" s="1175"/>
      <c r="G26" s="269"/>
      <c r="H26" s="269"/>
      <c r="I26" s="270"/>
    </row>
    <row r="27" spans="1:9" ht="39.75" customHeight="1" x14ac:dyDescent="0.2">
      <c r="A27" s="675" t="s">
        <v>216</v>
      </c>
      <c r="B27" s="299" t="s">
        <v>185</v>
      </c>
      <c r="C27" s="74" t="s">
        <v>1041</v>
      </c>
      <c r="D27" s="2534" t="s">
        <v>1044</v>
      </c>
      <c r="E27" s="2012">
        <f>кв!D26</f>
        <v>3</v>
      </c>
      <c r="F27" s="1175"/>
      <c r="G27" s="269"/>
      <c r="H27" s="269"/>
      <c r="I27" s="270"/>
    </row>
    <row r="28" spans="1:9" ht="36.75" customHeight="1" x14ac:dyDescent="0.2">
      <c r="A28" s="2505" t="s">
        <v>428</v>
      </c>
      <c r="B28" s="1171" t="s">
        <v>185</v>
      </c>
      <c r="C28" s="2568" t="s">
        <v>241</v>
      </c>
      <c r="D28" s="2533" t="s">
        <v>392</v>
      </c>
      <c r="E28" s="2011">
        <f>кв!D27</f>
        <v>5051</v>
      </c>
      <c r="F28" s="1175">
        <v>150</v>
      </c>
      <c r="G28" s="269">
        <v>271</v>
      </c>
      <c r="H28" s="269">
        <v>252</v>
      </c>
      <c r="I28" s="270">
        <v>263</v>
      </c>
    </row>
    <row r="29" spans="1:9" ht="37.5" customHeight="1" x14ac:dyDescent="0.2">
      <c r="A29" s="675" t="s">
        <v>215</v>
      </c>
      <c r="B29" s="299" t="s">
        <v>185</v>
      </c>
      <c r="C29" s="74" t="s">
        <v>1042</v>
      </c>
      <c r="D29" s="2534" t="s">
        <v>392</v>
      </c>
      <c r="E29" s="2012">
        <f>кв!D28</f>
        <v>5050</v>
      </c>
      <c r="F29" s="1176"/>
      <c r="G29" s="1169"/>
      <c r="H29" s="1169"/>
      <c r="I29" s="1170"/>
    </row>
    <row r="30" spans="1:9" ht="40.5" customHeight="1" x14ac:dyDescent="0.2">
      <c r="A30" s="675" t="s">
        <v>216</v>
      </c>
      <c r="B30" s="299" t="s">
        <v>185</v>
      </c>
      <c r="C30" s="74" t="s">
        <v>1043</v>
      </c>
      <c r="D30" s="2534" t="s">
        <v>1045</v>
      </c>
      <c r="E30" s="2012">
        <f>кв!D29</f>
        <v>1</v>
      </c>
      <c r="F30" s="1176"/>
      <c r="G30" s="1169"/>
      <c r="H30" s="1169"/>
      <c r="I30" s="1170"/>
    </row>
    <row r="31" spans="1:9" ht="27" customHeight="1" x14ac:dyDescent="0.2">
      <c r="A31" s="2505" t="s">
        <v>1190</v>
      </c>
      <c r="B31" s="1171" t="s">
        <v>1057</v>
      </c>
      <c r="C31" s="2568" t="s">
        <v>1060</v>
      </c>
      <c r="D31" s="2535" t="s">
        <v>1059</v>
      </c>
      <c r="E31" s="2013">
        <f>кв!D30</f>
        <v>1754</v>
      </c>
      <c r="F31" s="1176"/>
      <c r="G31" s="1169"/>
      <c r="H31" s="1169"/>
      <c r="I31" s="1170"/>
    </row>
    <row r="32" spans="1:9" ht="27" hidden="1" customHeight="1" x14ac:dyDescent="0.2">
      <c r="A32" s="675" t="s">
        <v>215</v>
      </c>
      <c r="B32" s="299" t="s">
        <v>1057</v>
      </c>
      <c r="C32" s="74" t="s">
        <v>1058</v>
      </c>
      <c r="D32" s="2536" t="s">
        <v>1059</v>
      </c>
      <c r="E32" s="2012">
        <f>кв!D31</f>
        <v>1319.3</v>
      </c>
      <c r="F32" s="1176"/>
      <c r="G32" s="1169"/>
      <c r="H32" s="1169"/>
      <c r="I32" s="1170"/>
    </row>
    <row r="33" spans="1:9" ht="29.25" customHeight="1" x14ac:dyDescent="0.2">
      <c r="A33" s="2506" t="s">
        <v>287</v>
      </c>
      <c r="B33" s="1966" t="s">
        <v>184</v>
      </c>
      <c r="C33" s="2093" t="s">
        <v>554</v>
      </c>
      <c r="D33" s="2537" t="s">
        <v>325</v>
      </c>
      <c r="E33" s="2014">
        <f>кв!D32</f>
        <v>33333</v>
      </c>
      <c r="F33" s="1177">
        <v>4994</v>
      </c>
      <c r="G33" s="271">
        <v>5732</v>
      </c>
      <c r="H33" s="271">
        <v>4822</v>
      </c>
      <c r="I33" s="272">
        <v>5592</v>
      </c>
    </row>
    <row r="34" spans="1:9" ht="23.25" customHeight="1" x14ac:dyDescent="0.2">
      <c r="A34" s="2507" t="s">
        <v>215</v>
      </c>
      <c r="B34" s="130" t="s">
        <v>185</v>
      </c>
      <c r="C34" s="74" t="s">
        <v>1046</v>
      </c>
      <c r="D34" s="2534" t="s">
        <v>325</v>
      </c>
      <c r="E34" s="2015">
        <f>кв!D33</f>
        <v>33300</v>
      </c>
      <c r="F34" s="1174"/>
      <c r="G34" s="1172"/>
      <c r="H34" s="1172"/>
      <c r="I34" s="1173"/>
    </row>
    <row r="35" spans="1:9" ht="24.75" customHeight="1" x14ac:dyDescent="0.2">
      <c r="A35" s="2508" t="s">
        <v>216</v>
      </c>
      <c r="B35" s="130" t="s">
        <v>185</v>
      </c>
      <c r="C35" s="74" t="s">
        <v>1047</v>
      </c>
      <c r="D35" s="2534" t="s">
        <v>1048</v>
      </c>
      <c r="E35" s="2015">
        <f>кв!D34</f>
        <v>33</v>
      </c>
      <c r="F35" s="1174"/>
      <c r="G35" s="1172"/>
      <c r="H35" s="1172"/>
      <c r="I35" s="1173"/>
    </row>
    <row r="36" spans="1:9" ht="26.25" customHeight="1" x14ac:dyDescent="0.2">
      <c r="A36" s="2509" t="s">
        <v>744</v>
      </c>
      <c r="B36" s="1966" t="s">
        <v>184</v>
      </c>
      <c r="C36" s="2093" t="s">
        <v>1307</v>
      </c>
      <c r="D36" s="2537" t="s">
        <v>1308</v>
      </c>
      <c r="E36" s="2016">
        <f>E37</f>
        <v>397</v>
      </c>
      <c r="F36" s="1174"/>
      <c r="G36" s="1172"/>
      <c r="H36" s="1172"/>
      <c r="I36" s="1173"/>
    </row>
    <row r="37" spans="1:9" ht="37.5" customHeight="1" thickBot="1" x14ac:dyDescent="0.25">
      <c r="A37" s="2508" t="s">
        <v>215</v>
      </c>
      <c r="B37" s="130" t="s">
        <v>185</v>
      </c>
      <c r="C37" s="74" t="s">
        <v>1309</v>
      </c>
      <c r="D37" s="2534" t="s">
        <v>1565</v>
      </c>
      <c r="E37" s="2017">
        <f>кв!D36</f>
        <v>397</v>
      </c>
      <c r="F37" s="1174"/>
      <c r="G37" s="1172"/>
      <c r="H37" s="1172"/>
      <c r="I37" s="1173"/>
    </row>
    <row r="38" spans="1:9" ht="16.5" customHeight="1" thickBot="1" x14ac:dyDescent="0.25">
      <c r="A38" s="2510" t="s">
        <v>924</v>
      </c>
      <c r="B38" s="1987" t="s">
        <v>184</v>
      </c>
      <c r="C38" s="1988" t="s">
        <v>187</v>
      </c>
      <c r="D38" s="2538" t="s">
        <v>326</v>
      </c>
      <c r="E38" s="2018">
        <f>E39</f>
        <v>39399.9</v>
      </c>
      <c r="F38" s="1992">
        <f t="shared" ref="F38:I39" si="0">F39</f>
        <v>1108</v>
      </c>
      <c r="G38" s="253">
        <f t="shared" si="0"/>
        <v>323</v>
      </c>
      <c r="H38" s="253">
        <f t="shared" si="0"/>
        <v>14238</v>
      </c>
      <c r="I38" s="254">
        <f t="shared" si="0"/>
        <v>3418</v>
      </c>
    </row>
    <row r="39" spans="1:9" ht="15.75" customHeight="1" x14ac:dyDescent="0.2">
      <c r="A39" s="2511" t="s">
        <v>334</v>
      </c>
      <c r="B39" s="76" t="s">
        <v>184</v>
      </c>
      <c r="C39" s="77" t="s">
        <v>734</v>
      </c>
      <c r="D39" s="78" t="s">
        <v>327</v>
      </c>
      <c r="E39" s="2019">
        <f>E40</f>
        <v>39399.9</v>
      </c>
      <c r="F39" s="329">
        <f t="shared" si="0"/>
        <v>1108</v>
      </c>
      <c r="G39" s="255">
        <f t="shared" si="0"/>
        <v>323</v>
      </c>
      <c r="H39" s="255">
        <f t="shared" si="0"/>
        <v>14238</v>
      </c>
      <c r="I39" s="256">
        <f t="shared" si="0"/>
        <v>3418</v>
      </c>
    </row>
    <row r="40" spans="1:9" ht="55.5" customHeight="1" thickBot="1" x14ac:dyDescent="0.25">
      <c r="A40" s="2512" t="s">
        <v>217</v>
      </c>
      <c r="B40" s="22" t="s">
        <v>185</v>
      </c>
      <c r="C40" s="70" t="s">
        <v>555</v>
      </c>
      <c r="D40" s="2539" t="s">
        <v>1566</v>
      </c>
      <c r="E40" s="2020">
        <f>кв!D39</f>
        <v>39399.9</v>
      </c>
      <c r="F40" s="1993">
        <v>1108</v>
      </c>
      <c r="G40" s="273">
        <v>323</v>
      </c>
      <c r="H40" s="273">
        <v>14238</v>
      </c>
      <c r="I40" s="274">
        <v>3418</v>
      </c>
    </row>
    <row r="41" spans="1:9" ht="25.5" customHeight="1" thickBot="1" x14ac:dyDescent="0.25">
      <c r="A41" s="2503">
        <v>3</v>
      </c>
      <c r="B41" s="71" t="s">
        <v>184</v>
      </c>
      <c r="C41" s="68" t="s">
        <v>136</v>
      </c>
      <c r="D41" s="141" t="s">
        <v>631</v>
      </c>
      <c r="E41" s="238">
        <f t="shared" ref="E41:I42" si="1">E42</f>
        <v>10</v>
      </c>
      <c r="F41" s="1185">
        <f t="shared" si="1"/>
        <v>12</v>
      </c>
      <c r="G41" s="238">
        <f t="shared" si="1"/>
        <v>20</v>
      </c>
      <c r="H41" s="238">
        <f t="shared" si="1"/>
        <v>3</v>
      </c>
      <c r="I41" s="238">
        <f t="shared" si="1"/>
        <v>0</v>
      </c>
    </row>
    <row r="42" spans="1:9" ht="15" customHeight="1" x14ac:dyDescent="0.2">
      <c r="A42" s="2504" t="s">
        <v>289</v>
      </c>
      <c r="B42" s="88" t="s">
        <v>184</v>
      </c>
      <c r="C42" s="83" t="s">
        <v>899</v>
      </c>
      <c r="D42" s="78" t="s">
        <v>900</v>
      </c>
      <c r="E42" s="2021">
        <f t="shared" si="1"/>
        <v>10</v>
      </c>
      <c r="F42" s="329">
        <f t="shared" si="1"/>
        <v>12</v>
      </c>
      <c r="G42" s="255">
        <f t="shared" si="1"/>
        <v>20</v>
      </c>
      <c r="H42" s="255">
        <f t="shared" si="1"/>
        <v>3</v>
      </c>
      <c r="I42" s="256">
        <f t="shared" si="1"/>
        <v>0</v>
      </c>
    </row>
    <row r="43" spans="1:9" ht="27.75" customHeight="1" thickBot="1" x14ac:dyDescent="0.25">
      <c r="A43" s="2513" t="s">
        <v>225</v>
      </c>
      <c r="B43" s="72" t="s">
        <v>185</v>
      </c>
      <c r="C43" s="97" t="s">
        <v>238</v>
      </c>
      <c r="D43" s="2540" t="s">
        <v>328</v>
      </c>
      <c r="E43" s="2022">
        <f>кв!D42</f>
        <v>10</v>
      </c>
      <c r="F43" s="1175">
        <v>12</v>
      </c>
      <c r="G43" s="269">
        <v>20</v>
      </c>
      <c r="H43" s="269">
        <v>3</v>
      </c>
      <c r="I43" s="270">
        <v>0</v>
      </c>
    </row>
    <row r="44" spans="1:9" ht="15.75" customHeight="1" thickBot="1" x14ac:dyDescent="0.25">
      <c r="A44" s="2514"/>
      <c r="B44" s="1179"/>
      <c r="C44" s="132"/>
      <c r="D44" s="2541" t="s">
        <v>534</v>
      </c>
      <c r="E44" s="2023">
        <f>E52+E64</f>
        <v>2626.8</v>
      </c>
      <c r="F44" s="1994"/>
      <c r="G44" s="119"/>
      <c r="H44" s="119"/>
      <c r="I44" s="120"/>
    </row>
    <row r="45" spans="1:9" ht="24" hidden="1" customHeight="1" thickBot="1" x14ac:dyDescent="0.25">
      <c r="A45" s="2515" t="s">
        <v>745</v>
      </c>
      <c r="B45" s="37" t="s">
        <v>184</v>
      </c>
      <c r="C45" s="68" t="s">
        <v>142</v>
      </c>
      <c r="D45" s="141" t="s">
        <v>143</v>
      </c>
      <c r="E45" s="2024"/>
      <c r="F45" s="1995">
        <f>F46+F49</f>
        <v>0</v>
      </c>
      <c r="G45" s="107">
        <f>G46+G49</f>
        <v>0</v>
      </c>
      <c r="H45" s="107">
        <f>H46+H49</f>
        <v>0</v>
      </c>
      <c r="I45" s="108">
        <f>I46+I49</f>
        <v>0</v>
      </c>
    </row>
    <row r="46" spans="1:9" ht="27" hidden="1" customHeight="1" x14ac:dyDescent="0.2">
      <c r="A46" s="2516" t="s">
        <v>746</v>
      </c>
      <c r="B46" s="88" t="s">
        <v>696</v>
      </c>
      <c r="C46" s="83" t="s">
        <v>144</v>
      </c>
      <c r="D46" s="2542" t="s">
        <v>145</v>
      </c>
      <c r="E46" s="2025"/>
      <c r="F46" s="92">
        <f>F48</f>
        <v>0</v>
      </c>
      <c r="G46" s="84">
        <f>G48</f>
        <v>0</v>
      </c>
      <c r="H46" s="84">
        <f>H48</f>
        <v>0</v>
      </c>
      <c r="I46" s="85">
        <f>I48</f>
        <v>0</v>
      </c>
    </row>
    <row r="47" spans="1:9" ht="63.75" hidden="1" customHeight="1" x14ac:dyDescent="0.2">
      <c r="A47" s="682" t="s">
        <v>117</v>
      </c>
      <c r="B47" s="72" t="s">
        <v>696</v>
      </c>
      <c r="C47" s="97" t="s">
        <v>226</v>
      </c>
      <c r="D47" s="2543" t="s">
        <v>771</v>
      </c>
      <c r="E47" s="2026"/>
      <c r="F47" s="112">
        <f>F48</f>
        <v>0</v>
      </c>
      <c r="G47" s="110">
        <f>G48</f>
        <v>0</v>
      </c>
      <c r="H47" s="110">
        <f>H48</f>
        <v>0</v>
      </c>
      <c r="I47" s="113">
        <f>I48</f>
        <v>0</v>
      </c>
    </row>
    <row r="48" spans="1:9" ht="50.25" hidden="1" customHeight="1" x14ac:dyDescent="0.2">
      <c r="A48" s="2513" t="s">
        <v>215</v>
      </c>
      <c r="B48" s="72" t="s">
        <v>696</v>
      </c>
      <c r="C48" s="101" t="s">
        <v>146</v>
      </c>
      <c r="D48" s="2544" t="s">
        <v>418</v>
      </c>
      <c r="E48" s="2027"/>
      <c r="F48" s="90">
        <v>0</v>
      </c>
      <c r="G48" s="87">
        <v>0</v>
      </c>
      <c r="H48" s="87">
        <v>0</v>
      </c>
      <c r="I48" s="116">
        <v>0</v>
      </c>
    </row>
    <row r="49" spans="1:9" ht="18" hidden="1" customHeight="1" x14ac:dyDescent="0.2">
      <c r="A49" s="2517" t="s">
        <v>747</v>
      </c>
      <c r="B49" s="581" t="s">
        <v>696</v>
      </c>
      <c r="C49" s="98" t="s">
        <v>147</v>
      </c>
      <c r="D49" s="2542" t="s">
        <v>148</v>
      </c>
      <c r="E49" s="2028"/>
      <c r="F49" s="133">
        <f t="shared" ref="F49:I50" si="2">F50</f>
        <v>0</v>
      </c>
      <c r="G49" s="114">
        <f t="shared" si="2"/>
        <v>0</v>
      </c>
      <c r="H49" s="114">
        <f t="shared" si="2"/>
        <v>0</v>
      </c>
      <c r="I49" s="115">
        <f t="shared" si="2"/>
        <v>0</v>
      </c>
    </row>
    <row r="50" spans="1:9" ht="41.25" hidden="1" customHeight="1" x14ac:dyDescent="0.2">
      <c r="A50" s="2513" t="s">
        <v>752</v>
      </c>
      <c r="B50" s="72" t="s">
        <v>696</v>
      </c>
      <c r="C50" s="97" t="s">
        <v>149</v>
      </c>
      <c r="D50" s="2545" t="s">
        <v>150</v>
      </c>
      <c r="E50" s="2029"/>
      <c r="F50" s="112">
        <f t="shared" si="2"/>
        <v>0</v>
      </c>
      <c r="G50" s="110">
        <f t="shared" si="2"/>
        <v>0</v>
      </c>
      <c r="H50" s="110">
        <f t="shared" si="2"/>
        <v>0</v>
      </c>
      <c r="I50" s="113">
        <f t="shared" si="2"/>
        <v>0</v>
      </c>
    </row>
    <row r="51" spans="1:9" ht="50.25" hidden="1" customHeight="1" thickBot="1" x14ac:dyDescent="0.25">
      <c r="A51" s="2518" t="s">
        <v>215</v>
      </c>
      <c r="B51" s="1180" t="s">
        <v>696</v>
      </c>
      <c r="C51" s="99" t="s">
        <v>151</v>
      </c>
      <c r="D51" s="2546" t="s">
        <v>419</v>
      </c>
      <c r="E51" s="2030"/>
      <c r="F51" s="91">
        <v>0</v>
      </c>
      <c r="G51" s="89">
        <v>0</v>
      </c>
      <c r="H51" s="89">
        <v>0</v>
      </c>
      <c r="I51" s="121">
        <v>0</v>
      </c>
    </row>
    <row r="52" spans="1:9" ht="25.5" customHeight="1" thickBot="1" x14ac:dyDescent="0.25">
      <c r="A52" s="2503" t="s">
        <v>745</v>
      </c>
      <c r="B52" s="105" t="s">
        <v>184</v>
      </c>
      <c r="C52" s="106" t="s">
        <v>979</v>
      </c>
      <c r="D52" s="141" t="s">
        <v>1109</v>
      </c>
      <c r="E52" s="2031">
        <f>E53</f>
        <v>900</v>
      </c>
      <c r="F52" s="1995">
        <f>F53</f>
        <v>0</v>
      </c>
      <c r="G52" s="107">
        <f>G53</f>
        <v>0</v>
      </c>
      <c r="H52" s="107">
        <f>H53</f>
        <v>0</v>
      </c>
      <c r="I52" s="108">
        <f>I53</f>
        <v>0</v>
      </c>
    </row>
    <row r="53" spans="1:9" ht="19.5" customHeight="1" x14ac:dyDescent="0.2">
      <c r="A53" s="2519" t="s">
        <v>445</v>
      </c>
      <c r="B53" s="134" t="s">
        <v>184</v>
      </c>
      <c r="C53" s="135" t="s">
        <v>1130</v>
      </c>
      <c r="D53" s="2542" t="s">
        <v>1208</v>
      </c>
      <c r="E53" s="2032">
        <f>E54</f>
        <v>900</v>
      </c>
      <c r="F53" s="92">
        <f>F55</f>
        <v>0</v>
      </c>
      <c r="G53" s="84">
        <f>G55</f>
        <v>0</v>
      </c>
      <c r="H53" s="84">
        <f>H55</f>
        <v>0</v>
      </c>
      <c r="I53" s="85">
        <f>I55</f>
        <v>0</v>
      </c>
    </row>
    <row r="54" spans="1:9" ht="19.5" customHeight="1" x14ac:dyDescent="0.2">
      <c r="A54" s="682" t="s">
        <v>489</v>
      </c>
      <c r="B54" s="88" t="s">
        <v>1049</v>
      </c>
      <c r="C54" s="83" t="s">
        <v>1210</v>
      </c>
      <c r="D54" s="2542" t="s">
        <v>1211</v>
      </c>
      <c r="E54" s="2032">
        <f>E55</f>
        <v>900</v>
      </c>
      <c r="F54" s="92"/>
      <c r="G54" s="84"/>
      <c r="H54" s="84"/>
      <c r="I54" s="85"/>
    </row>
    <row r="55" spans="1:9" ht="39.75" customHeight="1" x14ac:dyDescent="0.2">
      <c r="A55" s="684" t="s">
        <v>490</v>
      </c>
      <c r="B55" s="100" t="s">
        <v>1049</v>
      </c>
      <c r="C55" s="101" t="s">
        <v>1131</v>
      </c>
      <c r="D55" s="2544" t="s">
        <v>1571</v>
      </c>
      <c r="E55" s="2033">
        <f>SUM(E56:E57)</f>
        <v>900</v>
      </c>
      <c r="F55" s="112">
        <f>SUM(F56:F57)</f>
        <v>0</v>
      </c>
      <c r="G55" s="110">
        <f>SUM(G56:G57)</f>
        <v>0</v>
      </c>
      <c r="H55" s="110">
        <f>SUM(H56:H57)</f>
        <v>0</v>
      </c>
      <c r="I55" s="113">
        <f>SUM(I56:I57)</f>
        <v>0</v>
      </c>
    </row>
    <row r="56" spans="1:9" ht="61.5" customHeight="1" thickBot="1" x14ac:dyDescent="0.25">
      <c r="A56" s="2520" t="s">
        <v>215</v>
      </c>
      <c r="B56" s="100" t="s">
        <v>1049</v>
      </c>
      <c r="C56" s="101" t="s">
        <v>1132</v>
      </c>
      <c r="D56" s="2547" t="s">
        <v>632</v>
      </c>
      <c r="E56" s="2033">
        <f>кв!D55</f>
        <v>900</v>
      </c>
      <c r="F56" s="1996">
        <v>0</v>
      </c>
      <c r="G56" s="86">
        <v>0</v>
      </c>
      <c r="H56" s="86">
        <v>0</v>
      </c>
      <c r="I56" s="117">
        <v>0</v>
      </c>
    </row>
    <row r="57" spans="1:9" ht="51" hidden="1" customHeight="1" thickBot="1" x14ac:dyDescent="0.25">
      <c r="A57" s="2518" t="s">
        <v>216</v>
      </c>
      <c r="B57" s="136" t="s">
        <v>184</v>
      </c>
      <c r="C57" s="137" t="s">
        <v>781</v>
      </c>
      <c r="D57" s="2547" t="s">
        <v>780</v>
      </c>
      <c r="E57" s="2027">
        <f>кв!D56</f>
        <v>0</v>
      </c>
      <c r="F57" s="91">
        <v>0</v>
      </c>
      <c r="G57" s="89">
        <v>0</v>
      </c>
      <c r="H57" s="89">
        <v>0</v>
      </c>
      <c r="I57" s="121">
        <v>0</v>
      </c>
    </row>
    <row r="58" spans="1:9" ht="27" hidden="1" customHeight="1" thickBot="1" x14ac:dyDescent="0.25">
      <c r="A58" s="2515" t="s">
        <v>350</v>
      </c>
      <c r="B58" s="37" t="s">
        <v>184</v>
      </c>
      <c r="C58" s="68" t="s">
        <v>137</v>
      </c>
      <c r="D58" s="141" t="s">
        <v>138</v>
      </c>
      <c r="E58" s="2024"/>
      <c r="F58" s="1995">
        <f>F59</f>
        <v>0</v>
      </c>
      <c r="G58" s="107">
        <f>G59</f>
        <v>0</v>
      </c>
      <c r="H58" s="107">
        <f>H59</f>
        <v>0</v>
      </c>
      <c r="I58" s="108">
        <f>I59</f>
        <v>0</v>
      </c>
    </row>
    <row r="59" spans="1:9" ht="50.25" hidden="1" customHeight="1" x14ac:dyDescent="0.2">
      <c r="A59" s="2519" t="s">
        <v>239</v>
      </c>
      <c r="B59" s="88" t="s">
        <v>696</v>
      </c>
      <c r="C59" s="83" t="s">
        <v>139</v>
      </c>
      <c r="D59" s="2548" t="s">
        <v>357</v>
      </c>
      <c r="E59" s="2028"/>
      <c r="F59" s="92">
        <f>SUM(F60:F61)</f>
        <v>0</v>
      </c>
      <c r="G59" s="84">
        <f>SUM(G60:G61)</f>
        <v>0</v>
      </c>
      <c r="H59" s="84">
        <f>SUM(H60:H61)</f>
        <v>0</v>
      </c>
      <c r="I59" s="85">
        <f>SUM(I60:I61)</f>
        <v>0</v>
      </c>
    </row>
    <row r="60" spans="1:9" ht="80.25" hidden="1" customHeight="1" x14ac:dyDescent="0.2">
      <c r="A60" s="682" t="s">
        <v>110</v>
      </c>
      <c r="B60" s="72" t="s">
        <v>696</v>
      </c>
      <c r="C60" s="97" t="s">
        <v>140</v>
      </c>
      <c r="D60" s="2543" t="s">
        <v>754</v>
      </c>
      <c r="E60" s="2026"/>
      <c r="F60" s="1997">
        <v>0</v>
      </c>
      <c r="G60" s="109">
        <v>0</v>
      </c>
      <c r="H60" s="109">
        <v>0</v>
      </c>
      <c r="I60" s="118">
        <v>0</v>
      </c>
    </row>
    <row r="61" spans="1:9" ht="77.25" hidden="1" customHeight="1" x14ac:dyDescent="0.2">
      <c r="A61" s="682" t="s">
        <v>240</v>
      </c>
      <c r="B61" s="72" t="s">
        <v>696</v>
      </c>
      <c r="C61" s="97" t="s">
        <v>141</v>
      </c>
      <c r="D61" s="2543" t="s">
        <v>400</v>
      </c>
      <c r="E61" s="2026"/>
      <c r="F61" s="1997">
        <v>0</v>
      </c>
      <c r="G61" s="109">
        <v>0</v>
      </c>
      <c r="H61" s="109">
        <v>0</v>
      </c>
      <c r="I61" s="118">
        <v>0</v>
      </c>
    </row>
    <row r="62" spans="1:9" ht="17.25" hidden="1" customHeight="1" x14ac:dyDescent="0.2">
      <c r="A62" s="2504" t="s">
        <v>255</v>
      </c>
      <c r="B62" s="581" t="s">
        <v>696</v>
      </c>
      <c r="C62" s="1181" t="s">
        <v>256</v>
      </c>
      <c r="D62" s="2549" t="s">
        <v>257</v>
      </c>
      <c r="E62" s="2027"/>
      <c r="F62" s="1996">
        <f>F63</f>
        <v>0</v>
      </c>
      <c r="G62" s="86">
        <f>G63</f>
        <v>0</v>
      </c>
      <c r="H62" s="86">
        <f>H63</f>
        <v>0</v>
      </c>
      <c r="I62" s="117">
        <f>I63</f>
        <v>0</v>
      </c>
    </row>
    <row r="63" spans="1:9" ht="39.75" hidden="1" customHeight="1" thickBot="1" x14ac:dyDescent="0.25">
      <c r="A63" s="2521" t="s">
        <v>10</v>
      </c>
      <c r="B63" s="1182" t="s">
        <v>696</v>
      </c>
      <c r="C63" s="1183" t="s">
        <v>258</v>
      </c>
      <c r="D63" s="2550" t="s">
        <v>358</v>
      </c>
      <c r="E63" s="2034"/>
      <c r="F63" s="1998">
        <v>0</v>
      </c>
      <c r="G63" s="122">
        <v>0</v>
      </c>
      <c r="H63" s="122">
        <v>0</v>
      </c>
      <c r="I63" s="123">
        <v>0</v>
      </c>
    </row>
    <row r="64" spans="1:9" ht="18" customHeight="1" thickBot="1" x14ac:dyDescent="0.25">
      <c r="A64" s="2503" t="s">
        <v>349</v>
      </c>
      <c r="B64" s="37" t="s">
        <v>184</v>
      </c>
      <c r="C64" s="68" t="s">
        <v>724</v>
      </c>
      <c r="D64" s="2551" t="s">
        <v>329</v>
      </c>
      <c r="E64" s="238">
        <f>кв!D63</f>
        <v>1726.8</v>
      </c>
      <c r="F64" s="1992" t="e">
        <f>F65+F66+F68+#REF!+F72</f>
        <v>#REF!</v>
      </c>
      <c r="G64" s="253" t="e">
        <f>G65+G66+G68+#REF!+G72</f>
        <v>#REF!</v>
      </c>
      <c r="H64" s="253" t="e">
        <f>H65+H66+H68+#REF!+H72</f>
        <v>#REF!</v>
      </c>
      <c r="I64" s="254" t="e">
        <f>I65+I66+I68+#REF!+I72</f>
        <v>#REF!</v>
      </c>
    </row>
    <row r="65" spans="1:9" ht="53.25" customHeight="1" x14ac:dyDescent="0.2">
      <c r="A65" s="2519" t="s">
        <v>805</v>
      </c>
      <c r="B65" s="335" t="s">
        <v>185</v>
      </c>
      <c r="C65" s="144" t="s">
        <v>725</v>
      </c>
      <c r="D65" s="2552" t="s">
        <v>1110</v>
      </c>
      <c r="E65" s="2096">
        <f>кв!D64</f>
        <v>277</v>
      </c>
      <c r="F65" s="329">
        <v>225</v>
      </c>
      <c r="G65" s="255">
        <v>306</v>
      </c>
      <c r="H65" s="255">
        <v>284</v>
      </c>
      <c r="I65" s="256">
        <v>183</v>
      </c>
    </row>
    <row r="66" spans="1:9" ht="24.75" hidden="1" customHeight="1" x14ac:dyDescent="0.2">
      <c r="A66" s="2504" t="s">
        <v>890</v>
      </c>
      <c r="B66" s="79" t="s">
        <v>184</v>
      </c>
      <c r="C66" s="80" t="s">
        <v>242</v>
      </c>
      <c r="D66" s="78" t="s">
        <v>243</v>
      </c>
      <c r="E66" s="2097">
        <f>E67</f>
        <v>0</v>
      </c>
      <c r="F66" s="330">
        <f>F67</f>
        <v>0</v>
      </c>
      <c r="G66" s="257">
        <f>G67</f>
        <v>0</v>
      </c>
      <c r="H66" s="257">
        <f>H67</f>
        <v>0</v>
      </c>
      <c r="I66" s="258">
        <f>I67</f>
        <v>0</v>
      </c>
    </row>
    <row r="67" spans="1:9" s="57" customFormat="1" ht="51.75" hidden="1" customHeight="1" x14ac:dyDescent="0.2">
      <c r="A67" s="2513" t="s">
        <v>527</v>
      </c>
      <c r="B67" s="1303" t="s">
        <v>185</v>
      </c>
      <c r="C67" s="69" t="s">
        <v>244</v>
      </c>
      <c r="D67" s="2553" t="s">
        <v>359</v>
      </c>
      <c r="E67" s="2094">
        <f>кв!D66</f>
        <v>0</v>
      </c>
      <c r="F67" s="331"/>
      <c r="G67" s="259"/>
      <c r="H67" s="259"/>
      <c r="I67" s="260"/>
    </row>
    <row r="68" spans="1:9" s="57" customFormat="1" ht="38.25" hidden="1" customHeight="1" x14ac:dyDescent="0.2">
      <c r="A68" s="2504" t="s">
        <v>890</v>
      </c>
      <c r="B68" s="79" t="s">
        <v>184</v>
      </c>
      <c r="C68" s="2487" t="s">
        <v>245</v>
      </c>
      <c r="D68" s="78" t="s">
        <v>1456</v>
      </c>
      <c r="E68" s="2097">
        <f>E69</f>
        <v>0</v>
      </c>
      <c r="F68" s="330">
        <f>F69</f>
        <v>0</v>
      </c>
      <c r="G68" s="257">
        <f>G69</f>
        <v>0</v>
      </c>
      <c r="H68" s="257">
        <f>H69</f>
        <v>0</v>
      </c>
      <c r="I68" s="258">
        <f>I69</f>
        <v>0</v>
      </c>
    </row>
    <row r="69" spans="1:9" s="57" customFormat="1" ht="51" hidden="1" customHeight="1" x14ac:dyDescent="0.2">
      <c r="A69" s="2968" t="s">
        <v>215</v>
      </c>
      <c r="B69" s="73" t="s">
        <v>1212</v>
      </c>
      <c r="C69" s="2969" t="s">
        <v>360</v>
      </c>
      <c r="D69" s="2914" t="s">
        <v>1568</v>
      </c>
      <c r="E69" s="2970">
        <f>кв!D68</f>
        <v>0</v>
      </c>
      <c r="F69" s="331"/>
      <c r="G69" s="259"/>
      <c r="H69" s="259"/>
      <c r="I69" s="260"/>
    </row>
    <row r="70" spans="1:9" s="57" customFormat="1" ht="54" customHeight="1" x14ac:dyDescent="0.2">
      <c r="A70" s="2509" t="s">
        <v>890</v>
      </c>
      <c r="B70" s="2497" t="s">
        <v>184</v>
      </c>
      <c r="C70" s="2498" t="str">
        <f>кв!B69</f>
        <v xml:space="preserve"> 1 16 33000 00 0000 140</v>
      </c>
      <c r="D70" s="2554" t="str">
        <f>кв!C69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E70" s="2488">
        <f>кв!D69</f>
        <v>1</v>
      </c>
      <c r="F70" s="331"/>
      <c r="G70" s="259"/>
      <c r="H70" s="259"/>
      <c r="I70" s="260"/>
    </row>
    <row r="71" spans="1:9" s="57" customFormat="1" ht="67.5" customHeight="1" x14ac:dyDescent="0.2">
      <c r="A71" s="2971" t="s">
        <v>215</v>
      </c>
      <c r="B71" s="73" t="s">
        <v>1604</v>
      </c>
      <c r="C71" s="2969" t="str">
        <f>кв!B70</f>
        <v xml:space="preserve"> 1 16 33030 03 0000 140</v>
      </c>
      <c r="D71" s="2914" t="str">
        <f>кв!C70</f>
        <v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v>
      </c>
      <c r="E71" s="2970">
        <f>кв!D70</f>
        <v>1</v>
      </c>
      <c r="F71" s="331"/>
      <c r="G71" s="259"/>
      <c r="H71" s="259"/>
      <c r="I71" s="260"/>
    </row>
    <row r="72" spans="1:9" ht="27" customHeight="1" x14ac:dyDescent="0.2">
      <c r="A72" s="2522" t="s">
        <v>16</v>
      </c>
      <c r="B72" s="79" t="s">
        <v>184</v>
      </c>
      <c r="C72" s="80" t="s">
        <v>247</v>
      </c>
      <c r="D72" s="2555" t="s">
        <v>332</v>
      </c>
      <c r="E72" s="2095">
        <f>E73</f>
        <v>1448.8</v>
      </c>
      <c r="F72" s="332">
        <f>F73</f>
        <v>34</v>
      </c>
      <c r="G72" s="261">
        <f>G73</f>
        <v>531</v>
      </c>
      <c r="H72" s="261">
        <f>H73</f>
        <v>772</v>
      </c>
      <c r="I72" s="262">
        <f>I73</f>
        <v>451.2</v>
      </c>
    </row>
    <row r="73" spans="1:9" ht="53.25" customHeight="1" x14ac:dyDescent="0.2">
      <c r="A73" s="2523" t="s">
        <v>17</v>
      </c>
      <c r="B73" s="73" t="s">
        <v>184</v>
      </c>
      <c r="C73" s="69" t="s">
        <v>397</v>
      </c>
      <c r="D73" s="2540" t="str">
        <f>кв!C72</f>
        <v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v>
      </c>
      <c r="E73" s="2022">
        <f>SUM(E74:E79)</f>
        <v>1448.8</v>
      </c>
      <c r="F73" s="333">
        <f>SUM(F74:F79)</f>
        <v>34</v>
      </c>
      <c r="G73" s="328">
        <f>SUM(G74:G79)</f>
        <v>531</v>
      </c>
      <c r="H73" s="328">
        <f>SUM(H74:H79)</f>
        <v>772</v>
      </c>
      <c r="I73" s="327">
        <f>SUM(I74:I79)</f>
        <v>451.2</v>
      </c>
    </row>
    <row r="74" spans="1:9" ht="50.25" customHeight="1" x14ac:dyDescent="0.2">
      <c r="A74" s="686" t="s">
        <v>215</v>
      </c>
      <c r="B74" s="235" t="s">
        <v>20</v>
      </c>
      <c r="C74" s="74" t="s">
        <v>366</v>
      </c>
      <c r="D74" s="2556" t="s">
        <v>1111</v>
      </c>
      <c r="E74" s="2035">
        <f>кв!D73</f>
        <v>1100</v>
      </c>
      <c r="F74" s="334">
        <v>23</v>
      </c>
      <c r="G74" s="263">
        <v>500</v>
      </c>
      <c r="H74" s="263">
        <v>760</v>
      </c>
      <c r="I74" s="264">
        <v>450</v>
      </c>
    </row>
    <row r="75" spans="1:9" ht="50.25" customHeight="1" x14ac:dyDescent="0.2">
      <c r="A75" s="686" t="s">
        <v>216</v>
      </c>
      <c r="B75" s="235" t="s">
        <v>81</v>
      </c>
      <c r="C75" s="74" t="s">
        <v>366</v>
      </c>
      <c r="D75" s="2556" t="s">
        <v>1111</v>
      </c>
      <c r="E75" s="2035">
        <f>кв!D74</f>
        <v>84</v>
      </c>
      <c r="F75" s="334"/>
      <c r="G75" s="263"/>
      <c r="H75" s="263"/>
      <c r="I75" s="264"/>
    </row>
    <row r="76" spans="1:9" ht="48.75" customHeight="1" x14ac:dyDescent="0.2">
      <c r="A76" s="686" t="s">
        <v>222</v>
      </c>
      <c r="B76" s="235" t="s">
        <v>82</v>
      </c>
      <c r="C76" s="74" t="s">
        <v>366</v>
      </c>
      <c r="D76" s="2556" t="s">
        <v>1111</v>
      </c>
      <c r="E76" s="2035">
        <f>кв!D75</f>
        <v>10</v>
      </c>
      <c r="F76" s="334"/>
      <c r="G76" s="263"/>
      <c r="H76" s="263"/>
      <c r="I76" s="264"/>
    </row>
    <row r="77" spans="1:9" ht="49.5" hidden="1" customHeight="1" x14ac:dyDescent="0.2">
      <c r="A77" s="686" t="s">
        <v>221</v>
      </c>
      <c r="B77" s="235" t="s">
        <v>83</v>
      </c>
      <c r="C77" s="74" t="s">
        <v>366</v>
      </c>
      <c r="D77" s="2556" t="s">
        <v>1111</v>
      </c>
      <c r="E77" s="2035">
        <f>кв!D76</f>
        <v>0</v>
      </c>
      <c r="F77" s="334"/>
      <c r="G77" s="263"/>
      <c r="H77" s="263"/>
      <c r="I77" s="264"/>
    </row>
    <row r="78" spans="1:9" ht="50.25" customHeight="1" x14ac:dyDescent="0.2">
      <c r="A78" s="686" t="s">
        <v>223</v>
      </c>
      <c r="B78" s="130" t="s">
        <v>1010</v>
      </c>
      <c r="C78" s="74" t="s">
        <v>366</v>
      </c>
      <c r="D78" s="2556" t="s">
        <v>1111</v>
      </c>
      <c r="E78" s="2035">
        <f>кв!D77</f>
        <v>218</v>
      </c>
      <c r="F78" s="334"/>
      <c r="G78" s="263"/>
      <c r="H78" s="263"/>
      <c r="I78" s="264"/>
    </row>
    <row r="79" spans="1:9" ht="51.75" customHeight="1" thickBot="1" x14ac:dyDescent="0.25">
      <c r="A79" s="686" t="s">
        <v>224</v>
      </c>
      <c r="B79" s="336" t="s">
        <v>1010</v>
      </c>
      <c r="C79" s="337" t="s">
        <v>368</v>
      </c>
      <c r="D79" s="2556" t="s">
        <v>1112</v>
      </c>
      <c r="E79" s="2036">
        <f>кв!D78</f>
        <v>36.799999999999997</v>
      </c>
      <c r="F79" s="334">
        <v>11</v>
      </c>
      <c r="G79" s="263">
        <v>31</v>
      </c>
      <c r="H79" s="263">
        <v>12</v>
      </c>
      <c r="I79" s="264">
        <v>1.2</v>
      </c>
    </row>
    <row r="80" spans="1:9" ht="19.5" hidden="1" customHeight="1" thickBot="1" x14ac:dyDescent="0.25">
      <c r="A80" s="2503" t="s">
        <v>350</v>
      </c>
      <c r="B80" s="37" t="s">
        <v>184</v>
      </c>
      <c r="C80" s="68" t="s">
        <v>994</v>
      </c>
      <c r="D80" s="141" t="s">
        <v>995</v>
      </c>
      <c r="E80" s="2037">
        <f>E81+E83</f>
        <v>0</v>
      </c>
      <c r="F80" s="1999" t="e">
        <f>F83</f>
        <v>#REF!</v>
      </c>
      <c r="G80" s="64" t="e">
        <f>G83</f>
        <v>#REF!</v>
      </c>
      <c r="H80" s="64" t="e">
        <f>H83</f>
        <v>#REF!</v>
      </c>
      <c r="I80" s="65" t="e">
        <f>I83</f>
        <v>#REF!</v>
      </c>
    </row>
    <row r="81" spans="1:9" ht="15.75" hidden="1" customHeight="1" x14ac:dyDescent="0.2">
      <c r="A81" s="2519" t="s">
        <v>806</v>
      </c>
      <c r="B81" s="134" t="s">
        <v>696</v>
      </c>
      <c r="C81" s="135" t="s">
        <v>749</v>
      </c>
      <c r="D81" s="2548" t="s">
        <v>750</v>
      </c>
      <c r="E81" s="2028">
        <f>E82</f>
        <v>0</v>
      </c>
      <c r="F81" s="92">
        <f>F82</f>
        <v>0</v>
      </c>
      <c r="G81" s="84">
        <f>G82</f>
        <v>0</v>
      </c>
      <c r="H81" s="84">
        <f>H82</f>
        <v>0</v>
      </c>
      <c r="I81" s="85">
        <f>I82</f>
        <v>0</v>
      </c>
    </row>
    <row r="82" spans="1:9" ht="40.5" hidden="1" customHeight="1" x14ac:dyDescent="0.2">
      <c r="A82" s="682" t="s">
        <v>110</v>
      </c>
      <c r="B82" s="131" t="s">
        <v>696</v>
      </c>
      <c r="C82" s="1184" t="s">
        <v>751</v>
      </c>
      <c r="D82" s="2545" t="s">
        <v>801</v>
      </c>
      <c r="E82" s="2026">
        <f>кв!D81</f>
        <v>0</v>
      </c>
      <c r="F82" s="112">
        <v>0</v>
      </c>
      <c r="G82" s="110">
        <v>0</v>
      </c>
      <c r="H82" s="110">
        <v>0</v>
      </c>
      <c r="I82" s="113">
        <v>0</v>
      </c>
    </row>
    <row r="83" spans="1:9" ht="15" hidden="1" customHeight="1" x14ac:dyDescent="0.2">
      <c r="A83" s="2522" t="s">
        <v>891</v>
      </c>
      <c r="B83" s="79" t="s">
        <v>184</v>
      </c>
      <c r="C83" s="80" t="s">
        <v>992</v>
      </c>
      <c r="D83" s="2555" t="s">
        <v>993</v>
      </c>
      <c r="E83" s="2038">
        <f>E84</f>
        <v>0</v>
      </c>
      <c r="F83" s="2000" t="e">
        <f>#REF!</f>
        <v>#REF!</v>
      </c>
      <c r="G83" s="81" t="e">
        <f>#REF!</f>
        <v>#REF!</v>
      </c>
      <c r="H83" s="81" t="e">
        <f>#REF!</f>
        <v>#REF!</v>
      </c>
      <c r="I83" s="82" t="e">
        <f>#REF!</f>
        <v>#REF!</v>
      </c>
    </row>
    <row r="84" spans="1:9" ht="27" hidden="1" customHeight="1" thickBot="1" x14ac:dyDescent="0.25">
      <c r="A84" s="675" t="s">
        <v>10</v>
      </c>
      <c r="B84" s="73" t="s">
        <v>696</v>
      </c>
      <c r="C84" s="69" t="s">
        <v>399</v>
      </c>
      <c r="D84" s="2540" t="s">
        <v>402</v>
      </c>
      <c r="E84" s="2039">
        <v>0</v>
      </c>
      <c r="F84" s="2001" t="e">
        <f>#REF!</f>
        <v>#REF!</v>
      </c>
      <c r="G84" s="104" t="e">
        <f>#REF!</f>
        <v>#REF!</v>
      </c>
      <c r="H84" s="104" t="e">
        <f>#REF!</f>
        <v>#REF!</v>
      </c>
      <c r="I84" s="111" t="e">
        <f>#REF!</f>
        <v>#REF!</v>
      </c>
    </row>
    <row r="85" spans="1:9" ht="23.25" hidden="1" customHeight="1" thickBot="1" x14ac:dyDescent="0.25">
      <c r="A85" s="2515" t="s">
        <v>425</v>
      </c>
      <c r="B85" s="75" t="s">
        <v>184</v>
      </c>
      <c r="C85" s="68" t="s">
        <v>977</v>
      </c>
      <c r="D85" s="141" t="s">
        <v>393</v>
      </c>
      <c r="E85" s="2037"/>
      <c r="F85" s="1999">
        <f t="shared" ref="F85:I86" si="3">F86</f>
        <v>0</v>
      </c>
      <c r="G85" s="64">
        <f t="shared" si="3"/>
        <v>0</v>
      </c>
      <c r="H85" s="64">
        <f t="shared" si="3"/>
        <v>0</v>
      </c>
      <c r="I85" s="65">
        <f t="shared" si="3"/>
        <v>0</v>
      </c>
    </row>
    <row r="86" spans="1:9" ht="39" hidden="1" customHeight="1" x14ac:dyDescent="0.2">
      <c r="A86" s="2517" t="s">
        <v>112</v>
      </c>
      <c r="B86" s="124" t="s">
        <v>696</v>
      </c>
      <c r="C86" s="125" t="s">
        <v>394</v>
      </c>
      <c r="D86" s="2557" t="s">
        <v>395</v>
      </c>
      <c r="E86" s="2040"/>
      <c r="F86" s="2002">
        <f t="shared" si="3"/>
        <v>0</v>
      </c>
      <c r="G86" s="126">
        <f t="shared" si="3"/>
        <v>0</v>
      </c>
      <c r="H86" s="126">
        <f t="shared" si="3"/>
        <v>0</v>
      </c>
      <c r="I86" s="127">
        <f t="shared" si="3"/>
        <v>0</v>
      </c>
    </row>
    <row r="87" spans="1:9" ht="52.5" hidden="1" customHeight="1" thickBot="1" x14ac:dyDescent="0.25">
      <c r="A87" s="2524" t="s">
        <v>113</v>
      </c>
      <c r="B87" s="103" t="s">
        <v>696</v>
      </c>
      <c r="C87" s="70" t="s">
        <v>591</v>
      </c>
      <c r="D87" s="2539" t="s">
        <v>396</v>
      </c>
      <c r="E87" s="2041"/>
      <c r="F87" s="2003">
        <v>0</v>
      </c>
      <c r="G87" s="128">
        <v>0</v>
      </c>
      <c r="H87" s="128">
        <v>0</v>
      </c>
      <c r="I87" s="129">
        <v>0</v>
      </c>
    </row>
    <row r="88" spans="1:9" ht="20.25" customHeight="1" thickBot="1" x14ac:dyDescent="0.25">
      <c r="A88" s="2525" t="s">
        <v>739</v>
      </c>
      <c r="B88" s="21" t="s">
        <v>184</v>
      </c>
      <c r="C88" s="67" t="s">
        <v>726</v>
      </c>
      <c r="D88" s="2558" t="s">
        <v>333</v>
      </c>
      <c r="E88" s="2042">
        <f>E89</f>
        <v>15947.3</v>
      </c>
      <c r="F88" s="2004">
        <f>F89</f>
        <v>2178.1999999999998</v>
      </c>
      <c r="G88" s="239">
        <f>G89</f>
        <v>3707.1</v>
      </c>
      <c r="H88" s="239">
        <f>H89</f>
        <v>5722.2</v>
      </c>
      <c r="I88" s="240">
        <f>I89</f>
        <v>2222.3000000000002</v>
      </c>
    </row>
    <row r="89" spans="1:9" ht="24.75" customHeight="1" x14ac:dyDescent="0.2">
      <c r="A89" s="2526" t="s">
        <v>123</v>
      </c>
      <c r="B89" s="236" t="s">
        <v>182</v>
      </c>
      <c r="C89" s="106" t="s">
        <v>727</v>
      </c>
      <c r="D89" s="2559" t="s">
        <v>404</v>
      </c>
      <c r="E89" s="241">
        <f>E90+E93</f>
        <v>15947.3</v>
      </c>
      <c r="F89" s="285">
        <f>F90+F93</f>
        <v>2178.1999999999998</v>
      </c>
      <c r="G89" s="241">
        <f>G90+G93</f>
        <v>3707.1</v>
      </c>
      <c r="H89" s="241">
        <f>H90+H93</f>
        <v>5722.2</v>
      </c>
      <c r="I89" s="241">
        <f>I90+I93</f>
        <v>2222.3000000000002</v>
      </c>
    </row>
    <row r="90" spans="1:9" ht="24.75" hidden="1" customHeight="1" x14ac:dyDescent="0.2">
      <c r="A90" s="2522" t="s">
        <v>299</v>
      </c>
      <c r="B90" s="326" t="s">
        <v>184</v>
      </c>
      <c r="C90" s="297" t="s">
        <v>441</v>
      </c>
      <c r="D90" s="2560" t="s">
        <v>442</v>
      </c>
      <c r="E90" s="2043">
        <f>E91</f>
        <v>0</v>
      </c>
      <c r="F90" s="286">
        <f t="shared" ref="F90:I91" si="4">F91</f>
        <v>0</v>
      </c>
      <c r="G90" s="246">
        <f t="shared" si="4"/>
        <v>1500</v>
      </c>
      <c r="H90" s="246">
        <f t="shared" si="4"/>
        <v>3500</v>
      </c>
      <c r="I90" s="317">
        <f t="shared" si="4"/>
        <v>0</v>
      </c>
    </row>
    <row r="91" spans="1:9" ht="15.75" hidden="1" customHeight="1" x14ac:dyDescent="0.2">
      <c r="A91" s="675" t="s">
        <v>300</v>
      </c>
      <c r="B91" s="302" t="s">
        <v>184</v>
      </c>
      <c r="C91" s="298" t="s">
        <v>437</v>
      </c>
      <c r="D91" s="2561" t="s">
        <v>438</v>
      </c>
      <c r="E91" s="2044">
        <f>E92</f>
        <v>0</v>
      </c>
      <c r="F91" s="287">
        <f t="shared" si="4"/>
        <v>0</v>
      </c>
      <c r="G91" s="251">
        <f t="shared" si="4"/>
        <v>1500</v>
      </c>
      <c r="H91" s="251">
        <f t="shared" si="4"/>
        <v>3500</v>
      </c>
      <c r="I91" s="318">
        <f t="shared" si="4"/>
        <v>0</v>
      </c>
    </row>
    <row r="92" spans="1:9" ht="37.5" hidden="1" customHeight="1" x14ac:dyDescent="0.2">
      <c r="A92" s="675" t="s">
        <v>301</v>
      </c>
      <c r="B92" s="299" t="s">
        <v>696</v>
      </c>
      <c r="C92" s="69" t="s">
        <v>439</v>
      </c>
      <c r="D92" s="2534" t="s">
        <v>440</v>
      </c>
      <c r="E92" s="2045">
        <f>кв!D92</f>
        <v>0</v>
      </c>
      <c r="F92" s="288">
        <v>0</v>
      </c>
      <c r="G92" s="250">
        <v>1500</v>
      </c>
      <c r="H92" s="250">
        <v>3500</v>
      </c>
      <c r="I92" s="319">
        <v>0</v>
      </c>
    </row>
    <row r="93" spans="1:9" ht="27" customHeight="1" x14ac:dyDescent="0.2">
      <c r="A93" s="2527" t="s">
        <v>628</v>
      </c>
      <c r="B93" s="300" t="s">
        <v>184</v>
      </c>
      <c r="C93" s="301" t="s">
        <v>405</v>
      </c>
      <c r="D93" s="2562" t="s">
        <v>406</v>
      </c>
      <c r="E93" s="2046">
        <f>E94+E98</f>
        <v>15947.3</v>
      </c>
      <c r="F93" s="289">
        <f>F94+F98+F102</f>
        <v>2178.1999999999998</v>
      </c>
      <c r="G93" s="279">
        <f>G94+G98+G102</f>
        <v>2207.1</v>
      </c>
      <c r="H93" s="279">
        <f>H94+H98+H102</f>
        <v>2222.1999999999998</v>
      </c>
      <c r="I93" s="320">
        <f>I94+I98+I102</f>
        <v>2222.3000000000002</v>
      </c>
    </row>
    <row r="94" spans="1:9" ht="27.75" customHeight="1" x14ac:dyDescent="0.2">
      <c r="A94" s="2528" t="s">
        <v>212</v>
      </c>
      <c r="B94" s="1013" t="s">
        <v>184</v>
      </c>
      <c r="C94" s="1014" t="s">
        <v>407</v>
      </c>
      <c r="D94" s="2563" t="s">
        <v>633</v>
      </c>
      <c r="E94" s="2047">
        <f>E95</f>
        <v>3729.6</v>
      </c>
      <c r="F94" s="133">
        <f>F96</f>
        <v>435.6</v>
      </c>
      <c r="G94" s="114">
        <f>G96</f>
        <v>419.4</v>
      </c>
      <c r="H94" s="114">
        <f>H96</f>
        <v>419.5</v>
      </c>
      <c r="I94" s="115">
        <f>I96</f>
        <v>419.5</v>
      </c>
    </row>
    <row r="95" spans="1:9" ht="56.25" customHeight="1" x14ac:dyDescent="0.2">
      <c r="A95" s="2505" t="s">
        <v>213</v>
      </c>
      <c r="B95" s="302" t="s">
        <v>184</v>
      </c>
      <c r="C95" s="303" t="s">
        <v>627</v>
      </c>
      <c r="D95" s="2564" t="str">
        <f>кв!C95</f>
        <v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v>
      </c>
      <c r="E95" s="2044">
        <f>SUM(E96:E97)</f>
        <v>3729.6</v>
      </c>
      <c r="F95" s="133"/>
      <c r="G95" s="114"/>
      <c r="H95" s="114"/>
      <c r="I95" s="115"/>
    </row>
    <row r="96" spans="1:9" ht="63" customHeight="1" x14ac:dyDescent="0.2">
      <c r="A96" s="675" t="s">
        <v>215</v>
      </c>
      <c r="B96" s="20" t="s">
        <v>696</v>
      </c>
      <c r="C96" s="304" t="s">
        <v>1012</v>
      </c>
      <c r="D96" s="2540" t="s">
        <v>57</v>
      </c>
      <c r="E96" s="2045">
        <f>кв!D96</f>
        <v>3724</v>
      </c>
      <c r="F96" s="290">
        <v>435.6</v>
      </c>
      <c r="G96" s="249">
        <v>419.4</v>
      </c>
      <c r="H96" s="249">
        <v>419.5</v>
      </c>
      <c r="I96" s="321">
        <v>419.5</v>
      </c>
    </row>
    <row r="97" spans="1:9" ht="90" customHeight="1" x14ac:dyDescent="0.2">
      <c r="A97" s="675" t="s">
        <v>216</v>
      </c>
      <c r="B97" s="20" t="s">
        <v>696</v>
      </c>
      <c r="C97" s="304" t="s">
        <v>1013</v>
      </c>
      <c r="D97" s="2540" t="s">
        <v>29</v>
      </c>
      <c r="E97" s="2045">
        <f>кв!D97</f>
        <v>5.6</v>
      </c>
      <c r="F97" s="290"/>
      <c r="G97" s="249"/>
      <c r="H97" s="249"/>
      <c r="I97" s="321"/>
    </row>
    <row r="98" spans="1:9" ht="56.25" customHeight="1" x14ac:dyDescent="0.2">
      <c r="A98" s="2528" t="s">
        <v>428</v>
      </c>
      <c r="B98" s="1015" t="s">
        <v>184</v>
      </c>
      <c r="C98" s="1014" t="s">
        <v>844</v>
      </c>
      <c r="D98" s="2563" t="str">
        <f>кв!C98</f>
        <v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v>
      </c>
      <c r="E98" s="2048">
        <f>E99</f>
        <v>12217.699999999999</v>
      </c>
      <c r="F98" s="291">
        <f>F99</f>
        <v>1742.6</v>
      </c>
      <c r="G98" s="278">
        <f>G99</f>
        <v>1787.7</v>
      </c>
      <c r="H98" s="278">
        <f>H99</f>
        <v>1802.7</v>
      </c>
      <c r="I98" s="322">
        <f>I99</f>
        <v>1802.8</v>
      </c>
    </row>
    <row r="99" spans="1:9" ht="54.75" customHeight="1" x14ac:dyDescent="0.2">
      <c r="A99" s="2505" t="s">
        <v>629</v>
      </c>
      <c r="B99" s="302" t="s">
        <v>184</v>
      </c>
      <c r="C99" s="303" t="s">
        <v>845</v>
      </c>
      <c r="D99" s="2565" t="str">
        <f>кв!C99</f>
        <v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v>
      </c>
      <c r="E99" s="2044">
        <f>SUM(E100:E101)</f>
        <v>12217.699999999999</v>
      </c>
      <c r="F99" s="290">
        <f>SUM(F100:F101)</f>
        <v>1742.6</v>
      </c>
      <c r="G99" s="249">
        <f>SUM(G100:G101)</f>
        <v>1787.7</v>
      </c>
      <c r="H99" s="249">
        <f>SUM(H100:H101)</f>
        <v>1802.7</v>
      </c>
      <c r="I99" s="321">
        <f>SUM(I100:I101)</f>
        <v>1802.8</v>
      </c>
    </row>
    <row r="100" spans="1:9" ht="37.5" customHeight="1" x14ac:dyDescent="0.2">
      <c r="A100" s="2513" t="s">
        <v>215</v>
      </c>
      <c r="B100" s="299" t="s">
        <v>696</v>
      </c>
      <c r="C100" s="305" t="s">
        <v>476</v>
      </c>
      <c r="D100" s="2534" t="s">
        <v>30</v>
      </c>
      <c r="E100" s="2049">
        <f>кв!D100</f>
        <v>9259.7999999999993</v>
      </c>
      <c r="F100" s="292">
        <v>1470</v>
      </c>
      <c r="G100" s="247">
        <v>1500</v>
      </c>
      <c r="H100" s="247">
        <v>1515</v>
      </c>
      <c r="I100" s="323">
        <v>1515</v>
      </c>
    </row>
    <row r="101" spans="1:9" ht="35.25" customHeight="1" thickBot="1" x14ac:dyDescent="0.25">
      <c r="A101" s="2521" t="s">
        <v>216</v>
      </c>
      <c r="B101" s="306" t="s">
        <v>696</v>
      </c>
      <c r="C101" s="307" t="s">
        <v>477</v>
      </c>
      <c r="D101" s="2566" t="s">
        <v>625</v>
      </c>
      <c r="E101" s="2050">
        <f>кв!D101</f>
        <v>2957.9</v>
      </c>
      <c r="F101" s="293">
        <v>272.60000000000002</v>
      </c>
      <c r="G101" s="248">
        <v>287.7</v>
      </c>
      <c r="H101" s="248">
        <v>287.7</v>
      </c>
      <c r="I101" s="324">
        <v>287.8</v>
      </c>
    </row>
    <row r="102" spans="1:9" ht="15.75" hidden="1" customHeight="1" x14ac:dyDescent="0.2">
      <c r="A102" s="2529"/>
      <c r="B102" s="242"/>
      <c r="C102" s="77"/>
      <c r="D102" s="1961"/>
      <c r="E102" s="243"/>
      <c r="F102" s="294"/>
      <c r="G102" s="244"/>
      <c r="H102" s="244"/>
      <c r="I102" s="245"/>
    </row>
    <row r="103" spans="1:9" ht="24.75" hidden="1" customHeight="1" thickBot="1" x14ac:dyDescent="0.25">
      <c r="A103" s="2530"/>
      <c r="B103" s="22"/>
      <c r="C103" s="70"/>
      <c r="D103" s="2567"/>
      <c r="E103" s="138"/>
      <c r="F103" s="295"/>
      <c r="G103" s="139"/>
      <c r="H103" s="139"/>
      <c r="I103" s="140"/>
    </row>
    <row r="104" spans="1:9" ht="19.5" thickBot="1" x14ac:dyDescent="0.3">
      <c r="A104" s="18"/>
      <c r="B104" s="18"/>
      <c r="C104" s="2569"/>
      <c r="D104" s="314" t="s">
        <v>443</v>
      </c>
      <c r="E104" s="1264">
        <f>E21+E88</f>
        <v>117659</v>
      </c>
      <c r="F104" s="296" t="e">
        <f>F21+F88</f>
        <v>#REF!</v>
      </c>
      <c r="G104" s="252" t="e">
        <f>G21+G88</f>
        <v>#REF!</v>
      </c>
      <c r="H104" s="252" t="e">
        <f>H21+H88</f>
        <v>#REF!</v>
      </c>
      <c r="I104" s="252" t="e">
        <f>I21+I88</f>
        <v>#REF!</v>
      </c>
    </row>
    <row r="105" spans="1:9" ht="16.5" hidden="1" customHeight="1" thickBot="1" x14ac:dyDescent="0.3">
      <c r="A105" s="176"/>
      <c r="B105" s="177"/>
      <c r="C105" s="2570"/>
      <c r="D105" s="308" t="s">
        <v>444</v>
      </c>
      <c r="E105" s="316">
        <f>кв!D103</f>
        <v>6999.9999999999836</v>
      </c>
      <c r="F105" s="315" t="e">
        <f>ИФ.Пр.4!#REF!</f>
        <v>#REF!</v>
      </c>
      <c r="G105" s="310" t="e">
        <f>ИФ.Пр.4!#REF!</f>
        <v>#REF!</v>
      </c>
      <c r="H105" s="310" t="e">
        <f>ИФ.Пр.4!#REF!</f>
        <v>#REF!</v>
      </c>
      <c r="I105" s="325" t="e">
        <f>ИФ.Пр.4!#REF!</f>
        <v>#REF!</v>
      </c>
    </row>
    <row r="106" spans="1:9" ht="16.5" hidden="1" customHeight="1" thickBot="1" x14ac:dyDescent="0.3">
      <c r="A106" s="143"/>
      <c r="B106" s="38"/>
      <c r="C106" s="38"/>
      <c r="D106" s="309" t="s">
        <v>925</v>
      </c>
      <c r="E106" s="275">
        <f>E104+E105</f>
        <v>124658.99999999999</v>
      </c>
      <c r="F106" s="311" t="e">
        <f>'ВЕД.СТ Пр.2.'!J37</f>
        <v>#REF!</v>
      </c>
      <c r="G106" s="312" t="e">
        <f>'ВЕД.СТ Пр.2.'!K37</f>
        <v>#REF!</v>
      </c>
      <c r="H106" s="312" t="e">
        <f>'ВЕД.СТ Пр.2.'!L37</f>
        <v>#REF!</v>
      </c>
      <c r="I106" s="313" t="e">
        <f>'ВЕД.СТ Пр.2.'!M37</f>
        <v>#REF!</v>
      </c>
    </row>
    <row r="107" spans="1:9" ht="14.25" x14ac:dyDescent="0.2">
      <c r="A107" s="16"/>
      <c r="B107" s="16"/>
      <c r="C107" s="16"/>
    </row>
    <row r="108" spans="1:9" ht="15" hidden="1" x14ac:dyDescent="0.25">
      <c r="A108" s="39"/>
      <c r="B108" s="39"/>
      <c r="C108" s="39"/>
      <c r="D108" s="418">
        <f>кв!D103</f>
        <v>6999.9999999999836</v>
      </c>
    </row>
  </sheetData>
  <mergeCells count="25">
    <mergeCell ref="A1:C1"/>
    <mergeCell ref="D4:E4"/>
    <mergeCell ref="D6:E6"/>
    <mergeCell ref="D7:E7"/>
    <mergeCell ref="D1:E1"/>
    <mergeCell ref="A18:E18"/>
    <mergeCell ref="D15:E15"/>
    <mergeCell ref="D16:E16"/>
    <mergeCell ref="H11:I11"/>
    <mergeCell ref="D12:E12"/>
    <mergeCell ref="F11:G11"/>
    <mergeCell ref="D9:E9"/>
    <mergeCell ref="D3:E3"/>
    <mergeCell ref="F19:F20"/>
    <mergeCell ref="H19:H20"/>
    <mergeCell ref="I19:I20"/>
    <mergeCell ref="D11:E11"/>
    <mergeCell ref="D10:E10"/>
    <mergeCell ref="G19:G20"/>
    <mergeCell ref="D2:E2"/>
    <mergeCell ref="D5:E5"/>
    <mergeCell ref="D8:E8"/>
    <mergeCell ref="A17:E17"/>
    <mergeCell ref="D13:E13"/>
    <mergeCell ref="D14:E14"/>
  </mergeCells>
  <phoneticPr fontId="11" type="noConversion"/>
  <pageMargins left="0.24" right="0.21" top="0.36" bottom="0.5" header="0.38" footer="0.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view="pageBreakPreview" topLeftCell="B239" zoomScaleNormal="100" workbookViewId="0">
      <selection activeCell="B13" sqref="B13:I13"/>
    </sheetView>
  </sheetViews>
  <sheetFormatPr defaultRowHeight="12.75" x14ac:dyDescent="0.2"/>
  <cols>
    <col min="1" max="1" width="7.7109375" hidden="1" customWidth="1"/>
    <col min="2" max="2" width="7" style="1413" customWidth="1"/>
    <col min="3" max="3" width="54.140625" customWidth="1"/>
    <col min="4" max="4" width="6.28515625" customWidth="1"/>
    <col min="5" max="5" width="6.7109375" customWidth="1"/>
    <col min="6" max="6" width="9.140625" customWidth="1"/>
    <col min="7" max="7" width="5.28515625" customWidth="1"/>
    <col min="8" max="8" width="8.5703125" hidden="1" customWidth="1"/>
    <col min="9" max="9" width="8.42578125" customWidth="1"/>
    <col min="10" max="10" width="7.140625" hidden="1" customWidth="1"/>
    <col min="11" max="11" width="8.42578125" hidden="1" customWidth="1"/>
    <col min="12" max="12" width="9.28515625" hidden="1" customWidth="1"/>
    <col min="13" max="13" width="8" hidden="1" customWidth="1"/>
    <col min="14" max="14" width="0" hidden="1" customWidth="1"/>
  </cols>
  <sheetData>
    <row r="1" spans="1:13" ht="15.75" customHeight="1" x14ac:dyDescent="0.3">
      <c r="B1" s="3015" t="s">
        <v>1438</v>
      </c>
      <c r="C1" s="3016"/>
      <c r="D1" s="3016"/>
      <c r="E1" s="3016"/>
      <c r="F1" s="3016"/>
      <c r="G1" s="3016"/>
      <c r="H1" s="3016"/>
      <c r="I1" s="3016"/>
      <c r="J1" s="17"/>
      <c r="K1" s="17"/>
      <c r="L1" s="17"/>
      <c r="M1" s="17"/>
    </row>
    <row r="2" spans="1:13" ht="13.5" customHeight="1" x14ac:dyDescent="0.25">
      <c r="B2" s="3014" t="str">
        <f>Бюд.р.!D115</f>
        <v>№ 02-03-01 от 12.01.2015</v>
      </c>
      <c r="C2" s="3014"/>
      <c r="D2" s="3014"/>
      <c r="E2" s="3014"/>
      <c r="F2" s="3014"/>
      <c r="G2" s="3014"/>
      <c r="H2" s="3014"/>
      <c r="I2" s="3014"/>
      <c r="J2" s="17"/>
      <c r="K2" s="17"/>
      <c r="L2" s="17"/>
      <c r="M2" s="17"/>
    </row>
    <row r="3" spans="1:13" ht="12.75" customHeight="1" x14ac:dyDescent="0.25">
      <c r="B3" s="3014" t="str">
        <f>Бюд.р.!D116</f>
        <v>№ 02-03-02 от 14.01.2015</v>
      </c>
      <c r="C3" s="3014"/>
      <c r="D3" s="3014"/>
      <c r="E3" s="3014"/>
      <c r="F3" s="3014"/>
      <c r="G3" s="3014"/>
      <c r="H3" s="3014"/>
      <c r="I3" s="3014"/>
      <c r="J3" s="17"/>
      <c r="K3" s="17"/>
      <c r="L3" s="17"/>
      <c r="M3" s="17"/>
    </row>
    <row r="4" spans="1:13" ht="12" customHeight="1" x14ac:dyDescent="0.25">
      <c r="B4" s="3014" t="str">
        <f>Бюд.р.!D117</f>
        <v>№ 02-03-03 от 30.01.2015</v>
      </c>
      <c r="C4" s="3014"/>
      <c r="D4" s="3014"/>
      <c r="E4" s="3014"/>
      <c r="F4" s="3014"/>
      <c r="G4" s="3014"/>
      <c r="H4" s="3014"/>
      <c r="I4" s="3014"/>
      <c r="J4" s="17"/>
      <c r="K4" s="17"/>
      <c r="L4" s="17"/>
      <c r="M4" s="17"/>
    </row>
    <row r="5" spans="1:13" ht="12" customHeight="1" x14ac:dyDescent="0.25">
      <c r="B5" s="3014" t="str">
        <f>Бюд.р.!D118</f>
        <v>№ 02-03-04 от 18.02.2015</v>
      </c>
      <c r="C5" s="3014"/>
      <c r="D5" s="3014"/>
      <c r="E5" s="3014"/>
      <c r="F5" s="3014"/>
      <c r="G5" s="3014"/>
      <c r="H5" s="3014"/>
      <c r="I5" s="3014"/>
      <c r="J5" s="17"/>
      <c r="K5" s="17"/>
      <c r="L5" s="17"/>
      <c r="M5" s="17"/>
    </row>
    <row r="6" spans="1:13" ht="11.25" customHeight="1" x14ac:dyDescent="0.25">
      <c r="B6" s="3014" t="str">
        <f>Бюд.р.!D119</f>
        <v>№ 02-03-05 от 24.02.2015</v>
      </c>
      <c r="C6" s="3014"/>
      <c r="D6" s="3014"/>
      <c r="E6" s="3014"/>
      <c r="F6" s="3014"/>
      <c r="G6" s="3014"/>
      <c r="H6" s="3014"/>
      <c r="I6" s="3014"/>
      <c r="J6" s="17"/>
      <c r="K6" s="17"/>
      <c r="L6" s="17"/>
      <c r="M6" s="17"/>
    </row>
    <row r="7" spans="1:13" ht="12" customHeight="1" x14ac:dyDescent="0.25">
      <c r="B7" s="3014" t="str">
        <f>Бюд.р.!D120</f>
        <v>№ 02-03-06 от 10.03.2015</v>
      </c>
      <c r="C7" s="3014"/>
      <c r="D7" s="3014"/>
      <c r="E7" s="3014"/>
      <c r="F7" s="3014"/>
      <c r="G7" s="3014"/>
      <c r="H7" s="3014"/>
      <c r="I7" s="3014"/>
      <c r="J7" s="17"/>
      <c r="K7" s="17"/>
      <c r="L7" s="17"/>
      <c r="M7" s="17"/>
    </row>
    <row r="8" spans="1:13" ht="11.25" customHeight="1" x14ac:dyDescent="0.25">
      <c r="B8" s="3014" t="str">
        <f>Бюд.р.!D121</f>
        <v>№ 02-03-07 от 25.03.2015</v>
      </c>
      <c r="C8" s="3014"/>
      <c r="D8" s="3014"/>
      <c r="E8" s="3014"/>
      <c r="F8" s="3014"/>
      <c r="G8" s="3014"/>
      <c r="H8" s="3014"/>
      <c r="I8" s="3014"/>
      <c r="J8" s="17"/>
      <c r="K8" s="17"/>
      <c r="L8" s="17"/>
      <c r="M8" s="17"/>
    </row>
    <row r="9" spans="1:13" ht="11.25" customHeight="1" x14ac:dyDescent="0.25">
      <c r="B9" s="3014" t="str">
        <f>Бюд.р.!D122</f>
        <v>№ 02-03-08 от 21.04.2015</v>
      </c>
      <c r="C9" s="3014"/>
      <c r="D9" s="3014"/>
      <c r="E9" s="3014"/>
      <c r="F9" s="3014"/>
      <c r="G9" s="3014"/>
      <c r="H9" s="3014"/>
      <c r="I9" s="3014"/>
      <c r="J9" s="17"/>
      <c r="K9" s="17"/>
      <c r="L9" s="17"/>
      <c r="M9" s="17"/>
    </row>
    <row r="10" spans="1:13" ht="11.25" customHeight="1" x14ac:dyDescent="0.25">
      <c r="B10" s="3014" t="str">
        <f>Бюд.р.!D123</f>
        <v>№ 02-03-09 от 29.04.2015</v>
      </c>
      <c r="C10" s="3014"/>
      <c r="D10" s="3014"/>
      <c r="E10" s="3014"/>
      <c r="F10" s="3014"/>
      <c r="G10" s="3014"/>
      <c r="H10" s="3014"/>
      <c r="I10" s="3014"/>
      <c r="J10" s="17"/>
      <c r="K10" s="17"/>
      <c r="L10" s="17"/>
      <c r="M10" s="17"/>
    </row>
    <row r="11" spans="1:13" ht="11.25" customHeight="1" x14ac:dyDescent="0.25">
      <c r="B11" s="3014" t="str">
        <f>Бюд.р.!D124</f>
        <v>№ 02-03-10 от 21.05.2015</v>
      </c>
      <c r="C11" s="3014"/>
      <c r="D11" s="3014"/>
      <c r="E11" s="3014"/>
      <c r="F11" s="3014"/>
      <c r="G11" s="3014"/>
      <c r="H11" s="3014"/>
      <c r="I11" s="3014"/>
      <c r="J11" s="17"/>
      <c r="K11" s="17"/>
      <c r="L11" s="17"/>
      <c r="M11" s="17"/>
    </row>
    <row r="12" spans="1:13" ht="11.25" customHeight="1" x14ac:dyDescent="0.25">
      <c r="B12" s="3014" t="str">
        <f>Бюд.р.!D125</f>
        <v>№ 02-03-11 от 24.06.2015</v>
      </c>
      <c r="C12" s="3014"/>
      <c r="D12" s="3014"/>
      <c r="E12" s="3014"/>
      <c r="F12" s="3014"/>
      <c r="G12" s="3014"/>
      <c r="H12" s="3014"/>
      <c r="I12" s="3014"/>
      <c r="J12" s="17"/>
      <c r="K12" s="17"/>
      <c r="L12" s="17"/>
      <c r="M12" s="17"/>
    </row>
    <row r="13" spans="1:13" ht="11.25" hidden="1" customHeight="1" x14ac:dyDescent="0.25">
      <c r="B13" s="3014">
        <f>Бюд.р.!D126</f>
        <v>0</v>
      </c>
      <c r="C13" s="3014"/>
      <c r="D13" s="3014"/>
      <c r="E13" s="3014"/>
      <c r="F13" s="3014"/>
      <c r="G13" s="3014"/>
      <c r="H13" s="3014"/>
      <c r="I13" s="3014"/>
      <c r="J13" s="17"/>
      <c r="K13" s="17"/>
      <c r="L13" s="17"/>
      <c r="M13" s="17"/>
    </row>
    <row r="14" spans="1:13" ht="17.25" customHeight="1" x14ac:dyDescent="0.3">
      <c r="A14" s="181"/>
      <c r="B14" s="2995" t="s">
        <v>1439</v>
      </c>
      <c r="C14" s="2995"/>
      <c r="D14" s="2995"/>
      <c r="E14" s="2995"/>
      <c r="F14" s="2995"/>
      <c r="G14" s="2995"/>
      <c r="H14" s="2995"/>
      <c r="I14" s="2995"/>
      <c r="J14" s="181"/>
      <c r="K14" s="181"/>
      <c r="L14" s="181"/>
      <c r="M14" s="181"/>
    </row>
    <row r="15" spans="1:13" ht="15.75" customHeight="1" x14ac:dyDescent="0.3">
      <c r="A15" s="181"/>
      <c r="B15" s="3000" t="s">
        <v>1540</v>
      </c>
      <c r="C15" s="3000"/>
      <c r="D15" s="3000"/>
      <c r="E15" s="3000"/>
      <c r="F15" s="3000"/>
      <c r="G15" s="3000"/>
      <c r="H15" s="3000"/>
      <c r="I15" s="3000"/>
      <c r="J15" s="181"/>
      <c r="K15" s="181"/>
      <c r="L15" s="181"/>
      <c r="M15" s="181"/>
    </row>
    <row r="16" spans="1:13" ht="12.75" customHeight="1" thickBot="1" x14ac:dyDescent="0.35">
      <c r="A16" s="181"/>
      <c r="B16" s="181"/>
      <c r="C16" s="3012" t="s">
        <v>272</v>
      </c>
      <c r="D16" s="3012"/>
      <c r="E16" s="3012"/>
      <c r="F16" s="3012"/>
      <c r="G16" s="3012"/>
      <c r="H16" s="3012"/>
      <c r="I16" s="3012"/>
      <c r="J16" s="412"/>
      <c r="K16" s="412"/>
      <c r="L16" s="412"/>
      <c r="M16" s="412"/>
    </row>
    <row r="17" spans="1:13" ht="49.5" thickBot="1" x14ac:dyDescent="0.25">
      <c r="A17" s="62" t="s">
        <v>119</v>
      </c>
      <c r="B17" s="2269" t="s">
        <v>955</v>
      </c>
      <c r="C17" s="2317" t="s">
        <v>273</v>
      </c>
      <c r="D17" s="2291" t="s">
        <v>498</v>
      </c>
      <c r="E17" s="2268" t="s">
        <v>286</v>
      </c>
      <c r="F17" s="2268" t="s">
        <v>284</v>
      </c>
      <c r="G17" s="2268" t="s">
        <v>121</v>
      </c>
      <c r="H17" s="2349" t="s">
        <v>285</v>
      </c>
      <c r="I17" s="2380" t="s">
        <v>322</v>
      </c>
      <c r="J17" s="343" t="s">
        <v>930</v>
      </c>
      <c r="K17" s="344" t="s">
        <v>931</v>
      </c>
      <c r="L17" s="344" t="s">
        <v>913</v>
      </c>
      <c r="M17" s="378" t="s">
        <v>914</v>
      </c>
    </row>
    <row r="18" spans="1:13" ht="13.5" thickBot="1" x14ac:dyDescent="0.25">
      <c r="A18" s="148">
        <v>1</v>
      </c>
      <c r="B18" s="2386" t="s">
        <v>811</v>
      </c>
      <c r="C18" s="2387">
        <v>2</v>
      </c>
      <c r="D18" s="2388" t="s">
        <v>526</v>
      </c>
      <c r="E18" s="2389" t="s">
        <v>745</v>
      </c>
      <c r="F18" s="2389" t="s">
        <v>349</v>
      </c>
      <c r="G18" s="2389" t="s">
        <v>350</v>
      </c>
      <c r="H18" s="2390" t="s">
        <v>350</v>
      </c>
      <c r="I18" s="2391">
        <v>7</v>
      </c>
      <c r="J18" s="415">
        <v>8</v>
      </c>
      <c r="K18" s="416">
        <v>9</v>
      </c>
      <c r="L18" s="416">
        <v>10</v>
      </c>
      <c r="M18" s="417">
        <v>11</v>
      </c>
    </row>
    <row r="19" spans="1:13" ht="18" hidden="1" customHeight="1" thickBot="1" x14ac:dyDescent="0.25">
      <c r="A19" s="148"/>
      <c r="B19" s="2411"/>
      <c r="C19" s="2412" t="str">
        <f>'ВЕД.СТ Пр.2.'!C28</f>
        <v>ИЗБИРАТЕЛЬНАЯ КОМИССИЯ МО МО ОЗЕРО ДОЛГОЕ</v>
      </c>
      <c r="D19" s="2413">
        <f>'ВЕД.СТ Пр.2.'!D28</f>
        <v>917</v>
      </c>
      <c r="E19" s="2414"/>
      <c r="F19" s="2414"/>
      <c r="G19" s="2414"/>
      <c r="H19" s="2415"/>
      <c r="I19" s="2416">
        <f>I20</f>
        <v>0</v>
      </c>
      <c r="J19" s="415"/>
      <c r="K19" s="416"/>
      <c r="L19" s="416"/>
      <c r="M19" s="417"/>
    </row>
    <row r="20" spans="1:13" ht="18" hidden="1" customHeight="1" thickBot="1" x14ac:dyDescent="0.25">
      <c r="A20" s="148"/>
      <c r="B20" s="2423" t="s">
        <v>811</v>
      </c>
      <c r="C20" s="2424" t="str">
        <f>Бюд.р.!A9</f>
        <v>Обеспечение проведения выборов и референдумов</v>
      </c>
      <c r="D20" s="2425">
        <f>Бюд.р.!B9</f>
        <v>917</v>
      </c>
      <c r="E20" s="2471" t="s">
        <v>590</v>
      </c>
      <c r="F20" s="2426"/>
      <c r="G20" s="2426"/>
      <c r="H20" s="2427"/>
      <c r="I20" s="2428">
        <f>I21+I24</f>
        <v>0</v>
      </c>
      <c r="J20" s="415"/>
      <c r="K20" s="416"/>
      <c r="L20" s="416"/>
      <c r="M20" s="417"/>
    </row>
    <row r="21" spans="1:13" ht="24.75" hidden="1" thickBot="1" x14ac:dyDescent="0.25">
      <c r="A21" s="191" t="s">
        <v>738</v>
      </c>
      <c r="B21" s="2151" t="s">
        <v>299</v>
      </c>
      <c r="C21" s="2185" t="str">
        <f>'ВЕД.СТ Пр.2.'!C32</f>
        <v>Проведение выборов в представительные органы муниципального образования</v>
      </c>
      <c r="D21" s="2176">
        <f>'ВЕД.СТ Пр.2.'!D32</f>
        <v>917</v>
      </c>
      <c r="E21" s="2135" t="s">
        <v>590</v>
      </c>
      <c r="F21" s="1893" t="str">
        <f>'ВЕД.СТ Пр.2.'!F32</f>
        <v>020 01 01</v>
      </c>
      <c r="G21" s="1893"/>
      <c r="H21" s="1949"/>
      <c r="I21" s="1958">
        <f>SUM(I22:I23)</f>
        <v>0</v>
      </c>
      <c r="J21" s="355"/>
      <c r="K21" s="223"/>
      <c r="L21" s="223"/>
      <c r="M21" s="379"/>
    </row>
    <row r="22" spans="1:13" ht="15.75" hidden="1" x14ac:dyDescent="0.2">
      <c r="A22" s="2242"/>
      <c r="B22" s="2158" t="str">
        <f>'ВЕД.СТ Пр.2.'!B33</f>
        <v>1.1.1</v>
      </c>
      <c r="C22" s="2482" t="str">
        <f>Бюд.р.!A13</f>
        <v>Фонд оплаты труда и страховые взносы</v>
      </c>
      <c r="D22" s="2483">
        <f>'ВЕД.СТ Пр.2.'!D33</f>
        <v>917</v>
      </c>
      <c r="E22" s="2125" t="s">
        <v>590</v>
      </c>
      <c r="F22" s="1867" t="str">
        <f>'ВЕД.СТ Пр.2.'!F33</f>
        <v>020 01 01</v>
      </c>
      <c r="G22" s="1867">
        <f>Бюд.р.!F13</f>
        <v>121</v>
      </c>
      <c r="H22" s="1868"/>
      <c r="I22" s="2122">
        <f>Бюд.р.!H13</f>
        <v>0</v>
      </c>
      <c r="J22" s="355"/>
      <c r="K22" s="223"/>
      <c r="L22" s="223"/>
      <c r="M22" s="379"/>
    </row>
    <row r="23" spans="1:13" ht="16.5" hidden="1" customHeight="1" x14ac:dyDescent="0.2">
      <c r="A23" s="2242"/>
      <c r="B23" s="2158" t="str">
        <f>'ВЕД.СТ Пр.2.'!B34</f>
        <v>1.1.2</v>
      </c>
      <c r="C23" s="2484" t="str">
        <f>Бюд.р.!A16</f>
        <v>Прочая закупка товаров, работ и услуг для муниципальных нужд</v>
      </c>
      <c r="D23" s="2483">
        <f>'ВЕД.СТ Пр.2.'!D34</f>
        <v>917</v>
      </c>
      <c r="E23" s="2125" t="s">
        <v>590</v>
      </c>
      <c r="F23" s="1867" t="str">
        <f>'ВЕД.СТ Пр.2.'!F34</f>
        <v xml:space="preserve">020 01 01 </v>
      </c>
      <c r="G23" s="1867">
        <f>Бюд.р.!F16</f>
        <v>244</v>
      </c>
      <c r="H23" s="1868"/>
      <c r="I23" s="2122">
        <f>Бюд.р.!H16</f>
        <v>0</v>
      </c>
      <c r="J23" s="355"/>
      <c r="K23" s="223"/>
      <c r="L23" s="223"/>
      <c r="M23" s="379"/>
    </row>
    <row r="24" spans="1:13" ht="23.25" hidden="1" customHeight="1" x14ac:dyDescent="0.2">
      <c r="A24" s="2242"/>
      <c r="B24" s="2151" t="str">
        <f>'ВЕД.СТ Пр.2.'!B35</f>
        <v>1.2</v>
      </c>
      <c r="C24" s="2185" t="str">
        <f>'ВЕД.СТ Пр.2.'!C35</f>
        <v>Повышение правовой культуры избирателей и обучение организаторов выборов</v>
      </c>
      <c r="D24" s="2176">
        <f>'ВЕД.СТ Пр.2.'!D35</f>
        <v>917</v>
      </c>
      <c r="E24" s="2135" t="s">
        <v>590</v>
      </c>
      <c r="F24" s="1893" t="str">
        <f>'ВЕД.СТ Пр.2.'!F35</f>
        <v>020 01 03</v>
      </c>
      <c r="G24" s="1893"/>
      <c r="H24" s="1949"/>
      <c r="I24" s="1958">
        <f>I25</f>
        <v>0</v>
      </c>
      <c r="J24" s="355"/>
      <c r="K24" s="223"/>
      <c r="L24" s="223"/>
      <c r="M24" s="379"/>
    </row>
    <row r="25" spans="1:13" ht="15.75" hidden="1" customHeight="1" thickBot="1" x14ac:dyDescent="0.25">
      <c r="A25" s="2242"/>
      <c r="B25" s="2158" t="str">
        <f>'ВЕД.СТ Пр.2.'!B36</f>
        <v>1.2.1</v>
      </c>
      <c r="C25" s="2484" t="str">
        <f>Бюд.р.!A28</f>
        <v>Прочая закупка товаров, работ и услуг для муниципальных нужд</v>
      </c>
      <c r="D25" s="2483">
        <f>'ВЕД.СТ Пр.2.'!D36</f>
        <v>917</v>
      </c>
      <c r="E25" s="2125" t="s">
        <v>590</v>
      </c>
      <c r="F25" s="1867" t="str">
        <f>'ВЕД.СТ Пр.2.'!F36</f>
        <v>020 01 03</v>
      </c>
      <c r="G25" s="1867">
        <f>Бюд.р.!F28</f>
        <v>244</v>
      </c>
      <c r="H25" s="1868"/>
      <c r="I25" s="2122">
        <f>Бюд.р.!H28</f>
        <v>0</v>
      </c>
      <c r="J25" s="355"/>
      <c r="K25" s="223"/>
      <c r="L25" s="223"/>
      <c r="M25" s="379"/>
    </row>
    <row r="26" spans="1:13" ht="15.75" hidden="1" x14ac:dyDescent="0.2">
      <c r="A26" s="2242"/>
      <c r="B26" s="2270"/>
      <c r="C26" s="2319"/>
      <c r="D26" s="2292"/>
      <c r="E26" s="2244"/>
      <c r="F26" s="2244"/>
      <c r="G26" s="2244"/>
      <c r="H26" s="2350"/>
      <c r="I26" s="2245"/>
      <c r="J26" s="355"/>
      <c r="K26" s="223"/>
      <c r="L26" s="223"/>
      <c r="M26" s="379"/>
    </row>
    <row r="27" spans="1:13" ht="15.75" hidden="1" x14ac:dyDescent="0.2">
      <c r="A27" s="2242"/>
      <c r="B27" s="2270"/>
      <c r="C27" s="2319"/>
      <c r="D27" s="2292"/>
      <c r="E27" s="2244"/>
      <c r="F27" s="2244"/>
      <c r="G27" s="2244"/>
      <c r="H27" s="2350"/>
      <c r="I27" s="2245"/>
      <c r="J27" s="355"/>
      <c r="K27" s="223"/>
      <c r="L27" s="223"/>
      <c r="M27" s="379"/>
    </row>
    <row r="28" spans="1:13" ht="40.5" hidden="1" customHeight="1" thickBot="1" x14ac:dyDescent="0.25">
      <c r="A28" s="192" t="s">
        <v>123</v>
      </c>
      <c r="B28" s="2392"/>
      <c r="C28" s="2393"/>
      <c r="D28" s="2394"/>
      <c r="E28" s="2246"/>
      <c r="F28" s="2246"/>
      <c r="G28" s="2246"/>
      <c r="H28" s="2395"/>
      <c r="I28" s="2243"/>
      <c r="J28" s="356"/>
      <c r="K28" s="345"/>
      <c r="L28" s="345"/>
      <c r="M28" s="380"/>
    </row>
    <row r="29" spans="1:13" ht="23.25" customHeight="1" thickBot="1" x14ac:dyDescent="0.25">
      <c r="A29" s="192"/>
      <c r="B29" s="2405"/>
      <c r="C29" s="2406" t="s">
        <v>102</v>
      </c>
      <c r="D29" s="2407" t="s">
        <v>103</v>
      </c>
      <c r="E29" s="2408"/>
      <c r="F29" s="2408"/>
      <c r="G29" s="2408"/>
      <c r="H29" s="2409"/>
      <c r="I29" s="2410">
        <f>I31+I39+I58</f>
        <v>4378.8</v>
      </c>
      <c r="J29" s="357" t="e">
        <f>J30+J99+J133+J182+J186+J209+#REF!+#REF!</f>
        <v>#REF!</v>
      </c>
      <c r="K29" s="348" t="e">
        <f>K30+K99+K133+K182+K186+K209+#REF!+#REF!</f>
        <v>#REF!</v>
      </c>
      <c r="L29" s="348" t="e">
        <f>L30+L99+L133+L182+L186+L209+#REF!+#REF!</f>
        <v>#REF!</v>
      </c>
      <c r="M29" s="381" t="e">
        <f>M30+M99+M133+M182+M186+M209+#REF!+#REF!</f>
        <v>#REF!</v>
      </c>
    </row>
    <row r="30" spans="1:13" ht="14.25" hidden="1" customHeight="1" thickBot="1" x14ac:dyDescent="0.25">
      <c r="A30" s="192"/>
      <c r="B30" s="2396" t="s">
        <v>738</v>
      </c>
      <c r="C30" s="2397" t="s">
        <v>122</v>
      </c>
      <c r="D30" s="2398" t="s">
        <v>103</v>
      </c>
      <c r="E30" s="2399" t="s">
        <v>511</v>
      </c>
      <c r="F30" s="2399"/>
      <c r="G30" s="2399"/>
      <c r="H30" s="2400"/>
      <c r="I30" s="2401">
        <f>I39+I31</f>
        <v>4378.8</v>
      </c>
      <c r="J30" s="365" t="e">
        <f>J31+J39+J68+J81</f>
        <v>#REF!</v>
      </c>
      <c r="K30" s="349" t="e">
        <f>K31+K39+K68+K81</f>
        <v>#REF!</v>
      </c>
      <c r="L30" s="349" t="e">
        <f>L31+L39+L68+L81</f>
        <v>#REF!</v>
      </c>
      <c r="M30" s="388" t="e">
        <f>M31+M39+M68+M81</f>
        <v>#REF!</v>
      </c>
    </row>
    <row r="31" spans="1:13" ht="37.5" customHeight="1" x14ac:dyDescent="0.2">
      <c r="A31" s="192"/>
      <c r="B31" s="2429" t="s">
        <v>811</v>
      </c>
      <c r="C31" s="2430" t="s">
        <v>152</v>
      </c>
      <c r="D31" s="2431" t="s">
        <v>103</v>
      </c>
      <c r="E31" s="2432" t="s">
        <v>510</v>
      </c>
      <c r="F31" s="2432"/>
      <c r="G31" s="2432"/>
      <c r="H31" s="2433"/>
      <c r="I31" s="2434">
        <f>I32</f>
        <v>1117.634</v>
      </c>
      <c r="J31" s="358">
        <f t="shared" ref="J31:M32" si="0">J32</f>
        <v>164.7</v>
      </c>
      <c r="K31" s="152">
        <f t="shared" si="0"/>
        <v>164.8</v>
      </c>
      <c r="L31" s="152">
        <f t="shared" si="0"/>
        <v>164.7</v>
      </c>
      <c r="M31" s="382">
        <f t="shared" si="0"/>
        <v>164.7</v>
      </c>
    </row>
    <row r="32" spans="1:13" ht="14.25" customHeight="1" x14ac:dyDescent="0.2">
      <c r="A32" s="193" t="s">
        <v>299</v>
      </c>
      <c r="B32" s="2273" t="s">
        <v>299</v>
      </c>
      <c r="C32" s="2322" t="s">
        <v>513</v>
      </c>
      <c r="D32" s="2296" t="s">
        <v>103</v>
      </c>
      <c r="E32" s="1307" t="s">
        <v>510</v>
      </c>
      <c r="F32" s="1307" t="s">
        <v>514</v>
      </c>
      <c r="G32" s="1307"/>
      <c r="H32" s="1881"/>
      <c r="I32" s="1426">
        <f>I33</f>
        <v>1117.634</v>
      </c>
      <c r="J32" s="359">
        <f t="shared" si="0"/>
        <v>164.7</v>
      </c>
      <c r="K32" s="186">
        <f t="shared" si="0"/>
        <v>164.8</v>
      </c>
      <c r="L32" s="186">
        <f t="shared" si="0"/>
        <v>164.7</v>
      </c>
      <c r="M32" s="383">
        <f t="shared" si="0"/>
        <v>164.7</v>
      </c>
    </row>
    <row r="33" spans="1:13" ht="46.5" customHeight="1" x14ac:dyDescent="0.2">
      <c r="A33" s="194" t="s">
        <v>212</v>
      </c>
      <c r="B33" s="1911" t="s">
        <v>212</v>
      </c>
      <c r="C33" s="2318" t="str">
        <f>Бюд.р.!A61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3" s="2064" t="s">
        <v>103</v>
      </c>
      <c r="E33" s="1311" t="s">
        <v>510</v>
      </c>
      <c r="F33" s="1311" t="s">
        <v>514</v>
      </c>
      <c r="G33" s="1311">
        <f>Бюд.р.!F61</f>
        <v>100</v>
      </c>
      <c r="H33" s="1682"/>
      <c r="I33" s="1427">
        <f>Бюд.р.!H61</f>
        <v>1117.634</v>
      </c>
      <c r="J33" s="360">
        <v>164.7</v>
      </c>
      <c r="K33" s="189">
        <v>164.8</v>
      </c>
      <c r="L33" s="189">
        <v>164.7</v>
      </c>
      <c r="M33" s="384">
        <v>164.7</v>
      </c>
    </row>
    <row r="34" spans="1:13" ht="24" hidden="1" customHeight="1" x14ac:dyDescent="0.2">
      <c r="A34" s="195" t="s">
        <v>213</v>
      </c>
      <c r="B34" s="1910"/>
      <c r="C34" s="2322" t="s">
        <v>294</v>
      </c>
      <c r="D34" s="2296"/>
      <c r="E34" s="1314" t="s">
        <v>331</v>
      </c>
      <c r="F34" s="1314" t="s">
        <v>124</v>
      </c>
      <c r="G34" s="1314" t="s">
        <v>856</v>
      </c>
      <c r="H34" s="2353" t="s">
        <v>295</v>
      </c>
      <c r="I34" s="1428"/>
      <c r="J34" s="361"/>
      <c r="K34" s="237"/>
      <c r="L34" s="237"/>
      <c r="M34" s="350"/>
    </row>
    <row r="35" spans="1:13" ht="12.75" hidden="1" customHeight="1" x14ac:dyDescent="0.2">
      <c r="A35" s="196" t="s">
        <v>214</v>
      </c>
      <c r="B35" s="1911"/>
      <c r="C35" s="2323" t="s">
        <v>310</v>
      </c>
      <c r="D35" s="2297"/>
      <c r="E35" s="1318" t="s">
        <v>331</v>
      </c>
      <c r="F35" s="1318" t="s">
        <v>124</v>
      </c>
      <c r="G35" s="1318" t="s">
        <v>856</v>
      </c>
      <c r="H35" s="2354" t="s">
        <v>298</v>
      </c>
      <c r="I35" s="1428"/>
      <c r="J35" s="361"/>
      <c r="K35" s="237"/>
      <c r="L35" s="237"/>
      <c r="M35" s="350"/>
    </row>
    <row r="36" spans="1:13" ht="12.75" hidden="1" customHeight="1" x14ac:dyDescent="0.2">
      <c r="A36" s="196" t="s">
        <v>215</v>
      </c>
      <c r="B36" s="1911"/>
      <c r="C36" s="2324" t="s">
        <v>125</v>
      </c>
      <c r="D36" s="2298"/>
      <c r="E36" s="1322" t="s">
        <v>331</v>
      </c>
      <c r="F36" s="1322" t="s">
        <v>124</v>
      </c>
      <c r="G36" s="1322" t="s">
        <v>856</v>
      </c>
      <c r="H36" s="2355" t="s">
        <v>305</v>
      </c>
      <c r="I36" s="1428"/>
      <c r="J36" s="361"/>
      <c r="K36" s="237"/>
      <c r="L36" s="237"/>
      <c r="M36" s="350"/>
    </row>
    <row r="37" spans="1:13" hidden="1" x14ac:dyDescent="0.2">
      <c r="A37" s="196" t="s">
        <v>216</v>
      </c>
      <c r="B37" s="1911"/>
      <c r="C37" s="2324" t="s">
        <v>126</v>
      </c>
      <c r="D37" s="2298"/>
      <c r="E37" s="1322" t="s">
        <v>331</v>
      </c>
      <c r="F37" s="1322" t="s">
        <v>124</v>
      </c>
      <c r="G37" s="1322" t="s">
        <v>856</v>
      </c>
      <c r="H37" s="2355" t="s">
        <v>306</v>
      </c>
      <c r="I37" s="1428"/>
      <c r="J37" s="361"/>
      <c r="K37" s="237"/>
      <c r="L37" s="237"/>
      <c r="M37" s="350"/>
    </row>
    <row r="38" spans="1:13" ht="38.25" hidden="1" x14ac:dyDescent="0.2">
      <c r="A38" s="192" t="s">
        <v>127</v>
      </c>
      <c r="B38" s="2274"/>
      <c r="C38" s="2325" t="s">
        <v>807</v>
      </c>
      <c r="D38" s="2293"/>
      <c r="E38" s="1326" t="s">
        <v>308</v>
      </c>
      <c r="F38" s="1326"/>
      <c r="G38" s="1326"/>
      <c r="H38" s="2356"/>
      <c r="I38" s="1428"/>
      <c r="J38" s="361"/>
      <c r="K38" s="237"/>
      <c r="L38" s="237"/>
      <c r="M38" s="350"/>
    </row>
    <row r="39" spans="1:13" ht="52.5" customHeight="1" x14ac:dyDescent="0.2">
      <c r="A39" s="192"/>
      <c r="B39" s="2429" t="s">
        <v>924</v>
      </c>
      <c r="C39" s="2435" t="s">
        <v>1050</v>
      </c>
      <c r="D39" s="2431" t="s">
        <v>103</v>
      </c>
      <c r="E39" s="2432" t="s">
        <v>528</v>
      </c>
      <c r="F39" s="2432"/>
      <c r="G39" s="2432"/>
      <c r="H39" s="2433"/>
      <c r="I39" s="2434">
        <f>I40+I54</f>
        <v>3261.1660000000002</v>
      </c>
      <c r="J39" s="358" t="e">
        <f>#REF!+J40</f>
        <v>#REF!</v>
      </c>
      <c r="K39" s="152" t="e">
        <f>#REF!+K40</f>
        <v>#REF!</v>
      </c>
      <c r="L39" s="152" t="e">
        <f>#REF!+L40</f>
        <v>#REF!</v>
      </c>
      <c r="M39" s="382" t="e">
        <f>#REF!+M40</f>
        <v>#REF!</v>
      </c>
    </row>
    <row r="40" spans="1:13" ht="28.5" customHeight="1" x14ac:dyDescent="0.2">
      <c r="A40" s="193"/>
      <c r="B40" s="2274" t="s">
        <v>334</v>
      </c>
      <c r="C40" s="2326" t="s">
        <v>532</v>
      </c>
      <c r="D40" s="2299">
        <v>925</v>
      </c>
      <c r="E40" s="1329">
        <v>103</v>
      </c>
      <c r="F40" s="1330" t="s">
        <v>63</v>
      </c>
      <c r="G40" s="1329"/>
      <c r="H40" s="1881"/>
      <c r="I40" s="1429">
        <f>I41+I43</f>
        <v>1225.6399999999999</v>
      </c>
      <c r="J40" s="359">
        <f>J41+J43</f>
        <v>175.2</v>
      </c>
      <c r="K40" s="186">
        <f>K41+K43</f>
        <v>175</v>
      </c>
      <c r="L40" s="186">
        <f>L41+L43</f>
        <v>175.10000000000002</v>
      </c>
      <c r="M40" s="383">
        <f>M41+M43</f>
        <v>175</v>
      </c>
    </row>
    <row r="41" spans="1:13" ht="25.5" customHeight="1" x14ac:dyDescent="0.2">
      <c r="A41" s="193"/>
      <c r="B41" s="2273" t="s">
        <v>217</v>
      </c>
      <c r="C41" s="2327" t="s">
        <v>64</v>
      </c>
      <c r="D41" s="2300">
        <v>925</v>
      </c>
      <c r="E41" s="2472" t="s">
        <v>528</v>
      </c>
      <c r="F41" s="1331" t="s">
        <v>65</v>
      </c>
      <c r="G41" s="1880"/>
      <c r="H41" s="2357"/>
      <c r="I41" s="1430">
        <f>I42</f>
        <v>961.04</v>
      </c>
      <c r="J41" s="359">
        <f>J42</f>
        <v>138.4</v>
      </c>
      <c r="K41" s="186">
        <f>K42</f>
        <v>138.30000000000001</v>
      </c>
      <c r="L41" s="186">
        <f>L42</f>
        <v>138.4</v>
      </c>
      <c r="M41" s="383">
        <f>M42</f>
        <v>138.30000000000001</v>
      </c>
    </row>
    <row r="42" spans="1:13" ht="47.25" customHeight="1" x14ac:dyDescent="0.2">
      <c r="A42" s="193"/>
      <c r="B42" s="1911" t="s">
        <v>218</v>
      </c>
      <c r="C42" s="2318" t="str">
        <f>Бюд.р.!A69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2" s="2301">
        <v>925</v>
      </c>
      <c r="E42" s="2473" t="s">
        <v>528</v>
      </c>
      <c r="F42" s="1333" t="s">
        <v>65</v>
      </c>
      <c r="G42" s="1333">
        <f>Бюд.р.!F69</f>
        <v>100</v>
      </c>
      <c r="H42" s="2358"/>
      <c r="I42" s="1431">
        <f>Бюд.р.!H70</f>
        <v>961.04</v>
      </c>
      <c r="J42" s="360">
        <v>138.4</v>
      </c>
      <c r="K42" s="189">
        <v>138.30000000000001</v>
      </c>
      <c r="L42" s="189">
        <v>138.4</v>
      </c>
      <c r="M42" s="384">
        <v>138.30000000000001</v>
      </c>
    </row>
    <row r="43" spans="1:13" ht="25.5" customHeight="1" x14ac:dyDescent="0.2">
      <c r="A43" s="194" t="s">
        <v>108</v>
      </c>
      <c r="B43" s="2273" t="s">
        <v>578</v>
      </c>
      <c r="C43" s="2327" t="s">
        <v>1553</v>
      </c>
      <c r="D43" s="2300">
        <v>925</v>
      </c>
      <c r="E43" s="2472" t="s">
        <v>528</v>
      </c>
      <c r="F43" s="1331" t="s">
        <v>67</v>
      </c>
      <c r="G43" s="1331"/>
      <c r="H43" s="2357"/>
      <c r="I43" s="1430">
        <f>I49</f>
        <v>264.60000000000002</v>
      </c>
      <c r="J43" s="359">
        <f>J49</f>
        <v>36.799999999999997</v>
      </c>
      <c r="K43" s="186">
        <f>K49</f>
        <v>36.700000000000003</v>
      </c>
      <c r="L43" s="186">
        <f>L49</f>
        <v>36.700000000000003</v>
      </c>
      <c r="M43" s="383">
        <f>M49</f>
        <v>36.700000000000003</v>
      </c>
    </row>
    <row r="44" spans="1:13" ht="25.5" hidden="1" x14ac:dyDescent="0.2">
      <c r="A44" s="195" t="s">
        <v>218</v>
      </c>
      <c r="B44" s="2275"/>
      <c r="C44" s="2328" t="s">
        <v>469</v>
      </c>
      <c r="D44" s="2302">
        <v>968</v>
      </c>
      <c r="E44" s="2474">
        <v>103</v>
      </c>
      <c r="F44" s="962" t="s">
        <v>67</v>
      </c>
      <c r="G44" s="962">
        <v>500</v>
      </c>
      <c r="H44" s="2354" t="s">
        <v>295</v>
      </c>
      <c r="I44" s="1428"/>
      <c r="J44" s="360"/>
      <c r="K44" s="189"/>
      <c r="L44" s="189"/>
      <c r="M44" s="384"/>
    </row>
    <row r="45" spans="1:13" hidden="1" x14ac:dyDescent="0.2">
      <c r="A45" s="196" t="s">
        <v>220</v>
      </c>
      <c r="B45" s="1911"/>
      <c r="C45" s="2323" t="s">
        <v>310</v>
      </c>
      <c r="D45" s="2297"/>
      <c r="E45" s="2262" t="s">
        <v>308</v>
      </c>
      <c r="F45" s="1318" t="s">
        <v>124</v>
      </c>
      <c r="G45" s="1318" t="s">
        <v>292</v>
      </c>
      <c r="H45" s="2354" t="s">
        <v>298</v>
      </c>
      <c r="I45" s="1428"/>
      <c r="J45" s="360"/>
      <c r="K45" s="189"/>
      <c r="L45" s="189"/>
      <c r="M45" s="384"/>
    </row>
    <row r="46" spans="1:13" hidden="1" x14ac:dyDescent="0.2">
      <c r="A46" s="196" t="s">
        <v>215</v>
      </c>
      <c r="B46" s="1911"/>
      <c r="C46" s="2324" t="s">
        <v>125</v>
      </c>
      <c r="D46" s="2298"/>
      <c r="E46" s="1822" t="s">
        <v>308</v>
      </c>
      <c r="F46" s="1322" t="s">
        <v>124</v>
      </c>
      <c r="G46" s="1322" t="s">
        <v>292</v>
      </c>
      <c r="H46" s="2355" t="s">
        <v>305</v>
      </c>
      <c r="I46" s="1428"/>
      <c r="J46" s="360"/>
      <c r="K46" s="189"/>
      <c r="L46" s="189"/>
      <c r="M46" s="384"/>
    </row>
    <row r="47" spans="1:13" hidden="1" x14ac:dyDescent="0.2">
      <c r="A47" s="196" t="s">
        <v>216</v>
      </c>
      <c r="B47" s="1911"/>
      <c r="C47" s="2324" t="s">
        <v>128</v>
      </c>
      <c r="D47" s="2298"/>
      <c r="E47" s="1822" t="s">
        <v>308</v>
      </c>
      <c r="F47" s="1322" t="s">
        <v>288</v>
      </c>
      <c r="G47" s="1322" t="s">
        <v>292</v>
      </c>
      <c r="H47" s="2355" t="s">
        <v>504</v>
      </c>
      <c r="I47" s="1428"/>
      <c r="J47" s="360"/>
      <c r="K47" s="189"/>
      <c r="L47" s="189"/>
      <c r="M47" s="384"/>
    </row>
    <row r="48" spans="1:13" hidden="1" x14ac:dyDescent="0.2">
      <c r="A48" s="196" t="s">
        <v>221</v>
      </c>
      <c r="B48" s="1911"/>
      <c r="C48" s="2324" t="s">
        <v>126</v>
      </c>
      <c r="D48" s="2298"/>
      <c r="E48" s="1822" t="s">
        <v>308</v>
      </c>
      <c r="F48" s="1322" t="s">
        <v>124</v>
      </c>
      <c r="G48" s="1322" t="s">
        <v>292</v>
      </c>
      <c r="H48" s="2355" t="s">
        <v>306</v>
      </c>
      <c r="I48" s="1428"/>
      <c r="J48" s="360"/>
      <c r="K48" s="189"/>
      <c r="L48" s="189"/>
      <c r="M48" s="384"/>
    </row>
    <row r="49" spans="1:13" ht="47.25" customHeight="1" x14ac:dyDescent="0.2">
      <c r="A49" s="194" t="s">
        <v>335</v>
      </c>
      <c r="B49" s="1911" t="s">
        <v>219</v>
      </c>
      <c r="C49" s="2329" t="str">
        <f>Бюд.р.!A78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9" s="2301">
        <v>925</v>
      </c>
      <c r="E49" s="2473" t="s">
        <v>528</v>
      </c>
      <c r="F49" s="1333" t="s">
        <v>67</v>
      </c>
      <c r="G49" s="1333">
        <f>Бюд.р.!F78</f>
        <v>100</v>
      </c>
      <c r="H49" s="2359"/>
      <c r="I49" s="1431">
        <f>Бюд.р.!H78</f>
        <v>264.60000000000002</v>
      </c>
      <c r="J49" s="360">
        <v>36.799999999999997</v>
      </c>
      <c r="K49" s="189">
        <v>36.700000000000003</v>
      </c>
      <c r="L49" s="189">
        <v>36.700000000000003</v>
      </c>
      <c r="M49" s="384">
        <v>36.700000000000003</v>
      </c>
    </row>
    <row r="50" spans="1:13" ht="24" hidden="1" x14ac:dyDescent="0.2">
      <c r="A50" s="197" t="s">
        <v>219</v>
      </c>
      <c r="B50" s="1910"/>
      <c r="C50" s="2330" t="s">
        <v>294</v>
      </c>
      <c r="D50" s="2296"/>
      <c r="E50" s="2475" t="s">
        <v>308</v>
      </c>
      <c r="F50" s="1314" t="s">
        <v>124</v>
      </c>
      <c r="G50" s="1314" t="s">
        <v>808</v>
      </c>
      <c r="H50" s="2353" t="s">
        <v>295</v>
      </c>
      <c r="I50" s="1428"/>
      <c r="J50" s="361"/>
      <c r="K50" s="237"/>
      <c r="L50" s="237"/>
      <c r="M50" s="350"/>
    </row>
    <row r="51" spans="1:13" hidden="1" x14ac:dyDescent="0.2">
      <c r="A51" s="198" t="s">
        <v>220</v>
      </c>
      <c r="B51" s="1911"/>
      <c r="C51" s="2331" t="s">
        <v>310</v>
      </c>
      <c r="D51" s="2303"/>
      <c r="E51" s="2476" t="s">
        <v>308</v>
      </c>
      <c r="F51" s="1337" t="s">
        <v>124</v>
      </c>
      <c r="G51" s="1337" t="s">
        <v>808</v>
      </c>
      <c r="H51" s="2360" t="s">
        <v>298</v>
      </c>
      <c r="I51" s="1428"/>
      <c r="J51" s="361"/>
      <c r="K51" s="237"/>
      <c r="L51" s="237"/>
      <c r="M51" s="350"/>
    </row>
    <row r="52" spans="1:13" hidden="1" x14ac:dyDescent="0.2">
      <c r="A52" s="199" t="s">
        <v>215</v>
      </c>
      <c r="B52" s="2276"/>
      <c r="C52" s="2324" t="s">
        <v>125</v>
      </c>
      <c r="D52" s="2298"/>
      <c r="E52" s="1822" t="s">
        <v>308</v>
      </c>
      <c r="F52" s="1322" t="s">
        <v>124</v>
      </c>
      <c r="G52" s="1322" t="s">
        <v>808</v>
      </c>
      <c r="H52" s="2355" t="s">
        <v>305</v>
      </c>
      <c r="I52" s="1428"/>
      <c r="J52" s="361"/>
      <c r="K52" s="237"/>
      <c r="L52" s="237"/>
      <c r="M52" s="350"/>
    </row>
    <row r="53" spans="1:13" hidden="1" x14ac:dyDescent="0.2">
      <c r="A53" s="199" t="s">
        <v>221</v>
      </c>
      <c r="B53" s="2276"/>
      <c r="C53" s="2324" t="s">
        <v>129</v>
      </c>
      <c r="D53" s="2298"/>
      <c r="E53" s="1822" t="s">
        <v>308</v>
      </c>
      <c r="F53" s="1322" t="s">
        <v>124</v>
      </c>
      <c r="G53" s="1322" t="s">
        <v>808</v>
      </c>
      <c r="H53" s="2355" t="s">
        <v>306</v>
      </c>
      <c r="I53" s="1428"/>
      <c r="J53" s="361"/>
      <c r="K53" s="237"/>
      <c r="L53" s="237"/>
      <c r="M53" s="350"/>
    </row>
    <row r="54" spans="1:13" ht="24.75" customHeight="1" x14ac:dyDescent="0.2">
      <c r="A54" s="200"/>
      <c r="B54" s="2273" t="s">
        <v>227</v>
      </c>
      <c r="C54" s="2326" t="s">
        <v>62</v>
      </c>
      <c r="D54" s="2299">
        <v>925</v>
      </c>
      <c r="E54" s="2477" t="s">
        <v>528</v>
      </c>
      <c r="F54" s="1329" t="s">
        <v>529</v>
      </c>
      <c r="G54" s="1329"/>
      <c r="H54" s="1881"/>
      <c r="I54" s="1429">
        <f>SUM(I55:I57)</f>
        <v>2035.5260000000003</v>
      </c>
      <c r="J54" s="361"/>
      <c r="K54" s="237"/>
      <c r="L54" s="237"/>
      <c r="M54" s="350"/>
    </row>
    <row r="55" spans="1:13" ht="34.5" customHeight="1" x14ac:dyDescent="0.2">
      <c r="A55" s="200"/>
      <c r="B55" s="2277" t="s">
        <v>155</v>
      </c>
      <c r="C55" s="2318" t="str">
        <f>Бюд.р.!A83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5" s="2301">
        <v>925</v>
      </c>
      <c r="E55" s="2473" t="s">
        <v>528</v>
      </c>
      <c r="F55" s="1333" t="str">
        <f>Бюд.р.!D84</f>
        <v>002  04 00</v>
      </c>
      <c r="G55" s="1333">
        <f>Бюд.р.!F83</f>
        <v>100</v>
      </c>
      <c r="H55" s="2358"/>
      <c r="I55" s="1431">
        <f>Бюд.р.!H83</f>
        <v>817.67800000000011</v>
      </c>
      <c r="J55" s="361"/>
      <c r="K55" s="237"/>
      <c r="L55" s="237"/>
      <c r="M55" s="350"/>
    </row>
    <row r="56" spans="1:13" ht="24.75" customHeight="1" x14ac:dyDescent="0.2">
      <c r="A56" s="200"/>
      <c r="B56" s="2277" t="s">
        <v>1124</v>
      </c>
      <c r="C56" s="2329" t="str">
        <f>Бюд.р.!A89</f>
        <v>Закупка товаров, работ и услуг  для государственных (муниципальных) нужд</v>
      </c>
      <c r="D56" s="2301">
        <v>925</v>
      </c>
      <c r="E56" s="2473" t="s">
        <v>528</v>
      </c>
      <c r="F56" s="1333" t="str">
        <f>Бюд.р.!D90</f>
        <v>002 04 00</v>
      </c>
      <c r="G56" s="1333">
        <f>Бюд.р.!F89</f>
        <v>200</v>
      </c>
      <c r="H56" s="2358"/>
      <c r="I56" s="1431">
        <f>Бюд.р.!H89</f>
        <v>1214.6490000000001</v>
      </c>
      <c r="J56" s="361"/>
      <c r="K56" s="237"/>
      <c r="L56" s="237"/>
      <c r="M56" s="350"/>
    </row>
    <row r="57" spans="1:13" ht="15.75" customHeight="1" thickBot="1" x14ac:dyDescent="0.25">
      <c r="A57" s="200"/>
      <c r="B57" s="2277" t="s">
        <v>1125</v>
      </c>
      <c r="C57" s="2329" t="str">
        <f>Бюд.р.!A99</f>
        <v>Иные бюджетные ассигнования</v>
      </c>
      <c r="D57" s="2301">
        <v>925</v>
      </c>
      <c r="E57" s="2473" t="s">
        <v>528</v>
      </c>
      <c r="F57" s="1333" t="s">
        <v>529</v>
      </c>
      <c r="G57" s="1333">
        <f>Бюд.р.!F99</f>
        <v>800</v>
      </c>
      <c r="H57" s="2358"/>
      <c r="I57" s="1431">
        <f>Бюд.р.!H99</f>
        <v>3.1989999999999998</v>
      </c>
      <c r="J57" s="361"/>
      <c r="K57" s="237"/>
      <c r="L57" s="237"/>
      <c r="M57" s="350"/>
    </row>
    <row r="58" spans="1:13" ht="15.75" hidden="1" customHeight="1" x14ac:dyDescent="0.2">
      <c r="A58" s="200"/>
      <c r="B58" s="2429" t="s">
        <v>526</v>
      </c>
      <c r="C58" s="2435" t="s">
        <v>464</v>
      </c>
      <c r="D58" s="2431" t="s">
        <v>696</v>
      </c>
      <c r="E58" s="2432" t="s">
        <v>1054</v>
      </c>
      <c r="F58" s="2444"/>
      <c r="G58" s="2444"/>
      <c r="H58" s="2445"/>
      <c r="I58" s="2434">
        <f>I59</f>
        <v>0</v>
      </c>
      <c r="J58" s="361"/>
      <c r="K58" s="237"/>
      <c r="L58" s="237"/>
      <c r="M58" s="350"/>
    </row>
    <row r="59" spans="1:13" ht="37.5" hidden="1" customHeight="1" x14ac:dyDescent="0.2">
      <c r="A59" s="200"/>
      <c r="B59" s="2274" t="s">
        <v>289</v>
      </c>
      <c r="C59" s="2326" t="s">
        <v>1138</v>
      </c>
      <c r="D59" s="2299">
        <v>968</v>
      </c>
      <c r="E59" s="2477" t="s">
        <v>1054</v>
      </c>
      <c r="F59" s="1329" t="str">
        <f>Бюд.р.!D104</f>
        <v>092 05 00</v>
      </c>
      <c r="G59" s="1311"/>
      <c r="H59" s="1682"/>
      <c r="I59" s="1429">
        <f>I60</f>
        <v>0</v>
      </c>
      <c r="J59" s="361"/>
      <c r="K59" s="237"/>
      <c r="L59" s="237"/>
      <c r="M59" s="350"/>
    </row>
    <row r="60" spans="1:13" ht="39.75" hidden="1" customHeight="1" thickBot="1" x14ac:dyDescent="0.25">
      <c r="A60" s="200"/>
      <c r="B60" s="2273" t="s">
        <v>225</v>
      </c>
      <c r="C60" s="2329" t="str">
        <f>Пцс!B20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60" s="2064" t="s">
        <v>696</v>
      </c>
      <c r="E60" s="1311" t="s">
        <v>1054</v>
      </c>
      <c r="F60" s="1311" t="str">
        <f>Бюд.р.!D106</f>
        <v>092 05 00</v>
      </c>
      <c r="G60" s="1311">
        <f>Бюд.р.!F106</f>
        <v>853</v>
      </c>
      <c r="H60" s="1682"/>
      <c r="I60" s="1427">
        <f>Бюд.р.!H106</f>
        <v>0</v>
      </c>
      <c r="J60" s="361"/>
      <c r="K60" s="237"/>
      <c r="L60" s="237"/>
      <c r="M60" s="350"/>
    </row>
    <row r="61" spans="1:13" ht="15.75" hidden="1" customHeight="1" x14ac:dyDescent="0.2">
      <c r="A61" s="200"/>
      <c r="B61" s="2278" t="s">
        <v>739</v>
      </c>
      <c r="C61" s="2332" t="s">
        <v>290</v>
      </c>
      <c r="D61" s="2304">
        <v>925</v>
      </c>
      <c r="E61" s="2478">
        <v>700</v>
      </c>
      <c r="F61" s="2256"/>
      <c r="G61" s="2256"/>
      <c r="H61" s="2361"/>
      <c r="I61" s="2382">
        <f>I64</f>
        <v>0</v>
      </c>
      <c r="J61" s="361"/>
      <c r="K61" s="237"/>
      <c r="L61" s="237"/>
      <c r="M61" s="350"/>
    </row>
    <row r="62" spans="1:13" ht="27" hidden="1" customHeight="1" x14ac:dyDescent="0.2">
      <c r="A62" s="200"/>
      <c r="B62" s="2436">
        <v>3</v>
      </c>
      <c r="C62" s="2437" t="s">
        <v>1191</v>
      </c>
      <c r="D62" s="2438">
        <v>925</v>
      </c>
      <c r="E62" s="2479" t="s">
        <v>1192</v>
      </c>
      <c r="F62" s="2439"/>
      <c r="G62" s="2439"/>
      <c r="H62" s="2440"/>
      <c r="I62" s="2441">
        <f>I63</f>
        <v>0</v>
      </c>
      <c r="J62" s="361"/>
      <c r="K62" s="237"/>
      <c r="L62" s="237"/>
      <c r="M62" s="350"/>
    </row>
    <row r="63" spans="1:13" ht="15.75" hidden="1" customHeight="1" x14ac:dyDescent="0.2">
      <c r="A63" s="200"/>
      <c r="B63" s="2151" t="s">
        <v>1265</v>
      </c>
      <c r="C63" s="2333" t="s">
        <v>1224</v>
      </c>
      <c r="D63" s="2305">
        <v>925</v>
      </c>
      <c r="E63" s="2472" t="s">
        <v>1192</v>
      </c>
      <c r="F63" s="830" t="s">
        <v>1198</v>
      </c>
      <c r="G63" s="830"/>
      <c r="H63" s="2362"/>
      <c r="I63" s="1958">
        <f>I64</f>
        <v>0</v>
      </c>
      <c r="J63" s="361"/>
      <c r="K63" s="237"/>
      <c r="L63" s="237"/>
      <c r="M63" s="350"/>
    </row>
    <row r="64" spans="1:13" ht="46.5" hidden="1" customHeight="1" x14ac:dyDescent="0.2">
      <c r="A64" s="200"/>
      <c r="B64" s="2279" t="s">
        <v>225</v>
      </c>
      <c r="C64" s="2334" t="s">
        <v>1264</v>
      </c>
      <c r="D64" s="1775">
        <v>925</v>
      </c>
      <c r="E64" s="2135" t="s">
        <v>1192</v>
      </c>
      <c r="F64" s="1774" t="s">
        <v>1200</v>
      </c>
      <c r="G64" s="1774"/>
      <c r="H64" s="2362"/>
      <c r="I64" s="1958">
        <f>I65</f>
        <v>0</v>
      </c>
      <c r="J64" s="361"/>
      <c r="K64" s="237"/>
      <c r="L64" s="237"/>
      <c r="M64" s="350"/>
    </row>
    <row r="65" spans="1:13" ht="15.75" hidden="1" customHeight="1" thickBot="1" x14ac:dyDescent="0.25">
      <c r="A65" s="200"/>
      <c r="B65" s="1913" t="s">
        <v>802</v>
      </c>
      <c r="C65" s="2402" t="s">
        <v>1201</v>
      </c>
      <c r="D65" s="2403">
        <v>925</v>
      </c>
      <c r="E65" s="2480" t="s">
        <v>1192</v>
      </c>
      <c r="F65" s="976" t="s">
        <v>1200</v>
      </c>
      <c r="G65" s="976">
        <v>244</v>
      </c>
      <c r="H65" s="2404"/>
      <c r="I65" s="1395">
        <v>0</v>
      </c>
      <c r="J65" s="361"/>
      <c r="K65" s="237"/>
      <c r="L65" s="237"/>
      <c r="M65" s="350"/>
    </row>
    <row r="66" spans="1:13" ht="18.75" customHeight="1" thickBot="1" x14ac:dyDescent="0.25">
      <c r="A66" s="200"/>
      <c r="B66" s="2417"/>
      <c r="C66" s="2418" t="s">
        <v>512</v>
      </c>
      <c r="D66" s="2419" t="s">
        <v>696</v>
      </c>
      <c r="E66" s="2420"/>
      <c r="F66" s="2420"/>
      <c r="G66" s="2420"/>
      <c r="H66" s="2421"/>
      <c r="I66" s="2422">
        <f>I68+I78++I81+I102+I124+I130+I134+I187+I193+I204+I210+I213+I218+I221+I235+I241</f>
        <v>120280.19999999998</v>
      </c>
      <c r="J66" s="361"/>
      <c r="K66" s="237"/>
      <c r="L66" s="237"/>
      <c r="M66" s="350"/>
    </row>
    <row r="67" spans="1:13" ht="15.75" hidden="1" customHeight="1" thickBot="1" x14ac:dyDescent="0.25">
      <c r="A67" s="200"/>
      <c r="B67" s="2396" t="s">
        <v>738</v>
      </c>
      <c r="C67" s="2397" t="s">
        <v>122</v>
      </c>
      <c r="D67" s="2398" t="s">
        <v>696</v>
      </c>
      <c r="E67" s="2399" t="s">
        <v>511</v>
      </c>
      <c r="F67" s="2399"/>
      <c r="G67" s="2399"/>
      <c r="H67" s="2400"/>
      <c r="I67" s="2401">
        <f>I68+I78+I81</f>
        <v>30782.746999999999</v>
      </c>
      <c r="J67" s="361"/>
      <c r="K67" s="237"/>
      <c r="L67" s="237"/>
      <c r="M67" s="350"/>
    </row>
    <row r="68" spans="1:13" ht="64.5" customHeight="1" x14ac:dyDescent="0.2">
      <c r="A68" s="200"/>
      <c r="B68" s="2429" t="s">
        <v>745</v>
      </c>
      <c r="C68" s="2435" t="s">
        <v>1051</v>
      </c>
      <c r="D68" s="2431" t="s">
        <v>696</v>
      </c>
      <c r="E68" s="2432" t="s">
        <v>530</v>
      </c>
      <c r="F68" s="2432"/>
      <c r="G68" s="2432"/>
      <c r="H68" s="2433"/>
      <c r="I68" s="2434">
        <f>I69+I71+I76</f>
        <v>26767.585999999996</v>
      </c>
      <c r="J68" s="358" t="e">
        <f>J71+J77</f>
        <v>#REF!</v>
      </c>
      <c r="K68" s="152" t="e">
        <f>K71+K77</f>
        <v>#REF!</v>
      </c>
      <c r="L68" s="152" t="e">
        <f>L71+L77</f>
        <v>#REF!</v>
      </c>
      <c r="M68" s="382" t="e">
        <f>M71+M77</f>
        <v>#REF!</v>
      </c>
    </row>
    <row r="69" spans="1:13" ht="14.25" customHeight="1" x14ac:dyDescent="0.2">
      <c r="A69" s="200"/>
      <c r="B69" s="2274" t="s">
        <v>746</v>
      </c>
      <c r="C69" s="2322" t="s">
        <v>107</v>
      </c>
      <c r="D69" s="2296" t="s">
        <v>696</v>
      </c>
      <c r="E69" s="1307" t="s">
        <v>530</v>
      </c>
      <c r="F69" s="1307" t="s">
        <v>531</v>
      </c>
      <c r="G69" s="2257"/>
      <c r="H69" s="2363"/>
      <c r="I69" s="1429">
        <f>I70</f>
        <v>1117.634</v>
      </c>
      <c r="J69" s="358"/>
      <c r="K69" s="152"/>
      <c r="L69" s="152"/>
      <c r="M69" s="382"/>
    </row>
    <row r="70" spans="1:13" ht="45" customHeight="1" x14ac:dyDescent="0.2">
      <c r="A70" s="200"/>
      <c r="B70" s="1911" t="s">
        <v>489</v>
      </c>
      <c r="C70" s="2318" t="str">
        <f>Бюд.р.!A152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0" s="2064" t="s">
        <v>696</v>
      </c>
      <c r="E70" s="1311" t="s">
        <v>530</v>
      </c>
      <c r="F70" s="1311" t="s">
        <v>531</v>
      </c>
      <c r="G70" s="1311">
        <f>Бюд.р.!F152</f>
        <v>100</v>
      </c>
      <c r="H70" s="2363"/>
      <c r="I70" s="1431">
        <f>Бюд.р.!H152</f>
        <v>1117.634</v>
      </c>
      <c r="J70" s="358"/>
      <c r="K70" s="152"/>
      <c r="L70" s="152"/>
      <c r="M70" s="382"/>
    </row>
    <row r="71" spans="1:13" ht="26.25" customHeight="1" x14ac:dyDescent="0.2">
      <c r="A71" s="193" t="s">
        <v>289</v>
      </c>
      <c r="B71" s="2273" t="s">
        <v>747</v>
      </c>
      <c r="C71" s="2946" t="s">
        <v>72</v>
      </c>
      <c r="D71" s="2296" t="s">
        <v>696</v>
      </c>
      <c r="E71" s="1307" t="s">
        <v>530</v>
      </c>
      <c r="F71" s="1307" t="s">
        <v>70</v>
      </c>
      <c r="G71" s="1307"/>
      <c r="H71" s="1882"/>
      <c r="I71" s="1429">
        <f>I72+I73+I74+I75</f>
        <v>25644.351999999999</v>
      </c>
      <c r="J71" s="359">
        <f>SUM(J72:J72)</f>
        <v>2691.8</v>
      </c>
      <c r="K71" s="186">
        <f>SUM(K72:K72)</f>
        <v>2768.6</v>
      </c>
      <c r="L71" s="186">
        <f>SUM(L72:L72)</f>
        <v>4207.1000000000004</v>
      </c>
      <c r="M71" s="383">
        <f>SUM(M72:M72)</f>
        <v>2727.5</v>
      </c>
    </row>
    <row r="72" spans="1:13" ht="47.25" customHeight="1" x14ac:dyDescent="0.2">
      <c r="A72" s="193"/>
      <c r="B72" s="1911" t="s">
        <v>748</v>
      </c>
      <c r="C72" s="2318" t="str">
        <f>Бюд.р.!A159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2" s="2301">
        <v>968</v>
      </c>
      <c r="E72" s="2473" t="s">
        <v>530</v>
      </c>
      <c r="F72" s="1333" t="s">
        <v>70</v>
      </c>
      <c r="G72" s="1333">
        <f>Бюд.р.!F159</f>
        <v>100</v>
      </c>
      <c r="H72" s="1693"/>
      <c r="I72" s="1431">
        <f>Бюд.р.!H159</f>
        <v>19631.649000000001</v>
      </c>
      <c r="J72" s="360">
        <v>2691.8</v>
      </c>
      <c r="K72" s="189">
        <v>2768.6</v>
      </c>
      <c r="L72" s="189">
        <v>4207.1000000000004</v>
      </c>
      <c r="M72" s="384">
        <v>2727.5</v>
      </c>
    </row>
    <row r="73" spans="1:13" ht="24" customHeight="1" x14ac:dyDescent="0.2">
      <c r="A73" s="193"/>
      <c r="B73" s="1911" t="s">
        <v>1266</v>
      </c>
      <c r="C73" s="2329" t="str">
        <f>Бюд.р.!A165</f>
        <v>Закупка товаров, работ и услуг  для государственных (муниципальных) нужд</v>
      </c>
      <c r="D73" s="2301">
        <f>Бюд.р.!B166</f>
        <v>968</v>
      </c>
      <c r="E73" s="2473" t="s">
        <v>530</v>
      </c>
      <c r="F73" s="1333" t="str">
        <f>Бюд.р.!D166</f>
        <v>002  06 01</v>
      </c>
      <c r="G73" s="1333">
        <f>Бюд.р.!F165</f>
        <v>200</v>
      </c>
      <c r="H73" s="1693"/>
      <c r="I73" s="1431">
        <f>Бюд.р.!H165</f>
        <v>5925.0360000000001</v>
      </c>
      <c r="J73" s="360"/>
      <c r="K73" s="189"/>
      <c r="L73" s="189"/>
      <c r="M73" s="384"/>
    </row>
    <row r="74" spans="1:13" ht="16.5" customHeight="1" x14ac:dyDescent="0.2">
      <c r="A74" s="193"/>
      <c r="B74" s="1911" t="s">
        <v>1538</v>
      </c>
      <c r="C74" s="2329" t="str">
        <f>Бюд.р.!A187</f>
        <v>Социальное обеспечение и иные выплаты населению</v>
      </c>
      <c r="D74" s="2301">
        <v>968</v>
      </c>
      <c r="E74" s="2473" t="s">
        <v>530</v>
      </c>
      <c r="F74" s="1333" t="str">
        <f>Бюд.р.!D188</f>
        <v>002  06 01</v>
      </c>
      <c r="G74" s="1333">
        <f>Бюд.р.!F187</f>
        <v>300</v>
      </c>
      <c r="H74" s="1693"/>
      <c r="I74" s="1431">
        <f>Бюд.р.!H187</f>
        <v>57.067</v>
      </c>
      <c r="J74" s="360"/>
      <c r="K74" s="189"/>
      <c r="L74" s="189"/>
      <c r="M74" s="384"/>
    </row>
    <row r="75" spans="1:13" ht="12.75" customHeight="1" x14ac:dyDescent="0.2">
      <c r="A75" s="193"/>
      <c r="B75" s="1911" t="s">
        <v>1539</v>
      </c>
      <c r="C75" s="2329" t="str">
        <f>Бюд.р.!A201</f>
        <v>Иные бюджетные ассигнования</v>
      </c>
      <c r="D75" s="2301">
        <v>968</v>
      </c>
      <c r="E75" s="2473" t="s">
        <v>530</v>
      </c>
      <c r="F75" s="1333" t="s">
        <v>70</v>
      </c>
      <c r="G75" s="1333">
        <f>Бюд.р.!F201</f>
        <v>800</v>
      </c>
      <c r="H75" s="1693"/>
      <c r="I75" s="1431">
        <f>Бюд.р.!H201</f>
        <v>30.6</v>
      </c>
      <c r="J75" s="360"/>
      <c r="K75" s="189"/>
      <c r="L75" s="189"/>
      <c r="M75" s="384"/>
    </row>
    <row r="76" spans="1:13" ht="48" customHeight="1" x14ac:dyDescent="0.2">
      <c r="A76" s="193"/>
      <c r="B76" s="2273" t="s">
        <v>902</v>
      </c>
      <c r="C76" s="2326" t="str">
        <f>Бюд.р.!A208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76" s="2299">
        <v>968</v>
      </c>
      <c r="E76" s="2477" t="s">
        <v>530</v>
      </c>
      <c r="F76" s="1329" t="str">
        <f>Бюд.р.!D208</f>
        <v>002  80 10</v>
      </c>
      <c r="G76" s="1329"/>
      <c r="H76" s="1882"/>
      <c r="I76" s="1429">
        <f>I77</f>
        <v>5.6</v>
      </c>
      <c r="J76" s="360"/>
      <c r="K76" s="189"/>
      <c r="L76" s="189"/>
      <c r="M76" s="384"/>
    </row>
    <row r="77" spans="1:13" ht="25.5" customHeight="1" x14ac:dyDescent="0.2">
      <c r="A77" s="194" t="s">
        <v>225</v>
      </c>
      <c r="B77" s="1911" t="s">
        <v>156</v>
      </c>
      <c r="C77" s="2329" t="str">
        <f>Бюд.р.!A209</f>
        <v>Закупка товаров, работ и услуг  для государственных (муниципальных) нужд</v>
      </c>
      <c r="D77" s="2301">
        <v>968</v>
      </c>
      <c r="E77" s="2473" t="s">
        <v>530</v>
      </c>
      <c r="F77" s="1333" t="str">
        <f>Бюд.р.!D210</f>
        <v>002  80 10</v>
      </c>
      <c r="G77" s="1333">
        <f>Бюд.р.!F209</f>
        <v>200</v>
      </c>
      <c r="H77" s="1693"/>
      <c r="I77" s="1431">
        <f>Бюд.р.!H209</f>
        <v>5.6</v>
      </c>
      <c r="J77" s="359" t="e">
        <f>#REF!</f>
        <v>#REF!</v>
      </c>
      <c r="K77" s="186" t="e">
        <f>#REF!</f>
        <v>#REF!</v>
      </c>
      <c r="L77" s="186" t="e">
        <f>#REF!</f>
        <v>#REF!</v>
      </c>
      <c r="M77" s="383" t="e">
        <f>#REF!</f>
        <v>#REF!</v>
      </c>
    </row>
    <row r="78" spans="1:13" x14ac:dyDescent="0.2">
      <c r="A78" s="197" t="s">
        <v>802</v>
      </c>
      <c r="B78" s="2429" t="s">
        <v>349</v>
      </c>
      <c r="C78" s="2442" t="s">
        <v>31</v>
      </c>
      <c r="D78" s="2431">
        <v>968</v>
      </c>
      <c r="E78" s="2479" t="s">
        <v>1440</v>
      </c>
      <c r="F78" s="2432"/>
      <c r="G78" s="2432"/>
      <c r="H78" s="2443"/>
      <c r="I78" s="2434">
        <f>I79</f>
        <v>2739.1710000000003</v>
      </c>
      <c r="J78" s="360"/>
      <c r="K78" s="189"/>
      <c r="L78" s="189"/>
      <c r="M78" s="384"/>
    </row>
    <row r="79" spans="1:13" x14ac:dyDescent="0.2">
      <c r="A79" s="198" t="s">
        <v>473</v>
      </c>
      <c r="B79" s="2273" t="s">
        <v>805</v>
      </c>
      <c r="C79" s="2328" t="s">
        <v>32</v>
      </c>
      <c r="D79" s="2299">
        <v>968</v>
      </c>
      <c r="E79" s="2477" t="s">
        <v>1440</v>
      </c>
      <c r="F79" s="1329" t="str">
        <f>'ВЕД.СТ Пр.2.'!F78</f>
        <v>070 01 00</v>
      </c>
      <c r="G79" s="1329"/>
      <c r="H79" s="2364"/>
      <c r="I79" s="1430">
        <f>I80</f>
        <v>2739.1710000000003</v>
      </c>
      <c r="J79" s="360"/>
      <c r="K79" s="189"/>
      <c r="L79" s="189"/>
      <c r="M79" s="384"/>
    </row>
    <row r="80" spans="1:13" x14ac:dyDescent="0.2">
      <c r="A80" s="198" t="s">
        <v>215</v>
      </c>
      <c r="B80" s="1911" t="s">
        <v>109</v>
      </c>
      <c r="C80" s="2329" t="str">
        <f>Бюд.р.!A222</f>
        <v>Иные бюджетные ассигнования</v>
      </c>
      <c r="D80" s="2301">
        <v>968</v>
      </c>
      <c r="E80" s="2473" t="s">
        <v>1440</v>
      </c>
      <c r="F80" s="1333" t="str">
        <f>Бюд.р.!D223</f>
        <v>070 01 01</v>
      </c>
      <c r="G80" s="1333">
        <f>Бюд.р.!F222</f>
        <v>800</v>
      </c>
      <c r="H80" s="2359"/>
      <c r="I80" s="1431">
        <f>Бюд.р.!H223</f>
        <v>2739.1710000000003</v>
      </c>
      <c r="J80" s="360"/>
      <c r="K80" s="189"/>
      <c r="L80" s="189"/>
      <c r="M80" s="384"/>
    </row>
    <row r="81" spans="1:13" ht="12" customHeight="1" x14ac:dyDescent="0.2">
      <c r="A81" s="198"/>
      <c r="B81" s="2429" t="s">
        <v>350</v>
      </c>
      <c r="C81" s="2435" t="s">
        <v>464</v>
      </c>
      <c r="D81" s="2431" t="s">
        <v>696</v>
      </c>
      <c r="E81" s="2432" t="s">
        <v>1054</v>
      </c>
      <c r="F81" s="2444"/>
      <c r="G81" s="2444"/>
      <c r="H81" s="2445"/>
      <c r="I81" s="2434">
        <f>I82+I89+I91+I93+I95+I97+I100</f>
        <v>1275.99</v>
      </c>
      <c r="J81" s="356" t="e">
        <f>J82+J84+J86+#REF!</f>
        <v>#REF!</v>
      </c>
      <c r="K81" s="345" t="e">
        <f>K82+K84+K86+#REF!</f>
        <v>#REF!</v>
      </c>
      <c r="L81" s="345" t="e">
        <f>L82+L84+L86+#REF!</f>
        <v>#REF!</v>
      </c>
      <c r="M81" s="380" t="e">
        <f>M82+M84+M86+#REF!</f>
        <v>#REF!</v>
      </c>
    </row>
    <row r="82" spans="1:13" ht="34.5" customHeight="1" x14ac:dyDescent="0.2">
      <c r="A82" s="198"/>
      <c r="B82" s="2273" t="s">
        <v>806</v>
      </c>
      <c r="C82" s="2326" t="s">
        <v>1137</v>
      </c>
      <c r="D82" s="2296" t="s">
        <v>696</v>
      </c>
      <c r="E82" s="1307" t="s">
        <v>1054</v>
      </c>
      <c r="F82" s="1350" t="str">
        <f>F83</f>
        <v>090 01 00</v>
      </c>
      <c r="G82" s="1307"/>
      <c r="H82" s="1883"/>
      <c r="I82" s="1429">
        <f>I83</f>
        <v>109.65</v>
      </c>
      <c r="J82" s="359">
        <f>J83</f>
        <v>0</v>
      </c>
      <c r="K82" s="186">
        <f>K83</f>
        <v>0</v>
      </c>
      <c r="L82" s="186">
        <f>L83</f>
        <v>0</v>
      </c>
      <c r="M82" s="383">
        <f>M83</f>
        <v>0</v>
      </c>
    </row>
    <row r="83" spans="1:13" ht="25.5" customHeight="1" x14ac:dyDescent="0.2">
      <c r="A83" s="200"/>
      <c r="B83" s="1911" t="s">
        <v>110</v>
      </c>
      <c r="C83" s="2329" t="str">
        <f>Бюд.р.!A228</f>
        <v>Закупка товаров, работ и услуг  для государственных (муниципальных) нужд</v>
      </c>
      <c r="D83" s="2064" t="s">
        <v>696</v>
      </c>
      <c r="E83" s="1311" t="s">
        <v>1054</v>
      </c>
      <c r="F83" s="1311" t="s">
        <v>1135</v>
      </c>
      <c r="G83" s="1311">
        <f>Бюд.р.!F228</f>
        <v>200</v>
      </c>
      <c r="H83" s="2356"/>
      <c r="I83" s="1427">
        <f>Бюд.р.!H229</f>
        <v>109.65</v>
      </c>
      <c r="J83" s="360">
        <v>0</v>
      </c>
      <c r="K83" s="189">
        <v>0</v>
      </c>
      <c r="L83" s="189">
        <v>0</v>
      </c>
      <c r="M83" s="384">
        <v>0</v>
      </c>
    </row>
    <row r="84" spans="1:13" ht="57" hidden="1" customHeight="1" x14ac:dyDescent="0.2">
      <c r="A84" s="193" t="s">
        <v>746</v>
      </c>
      <c r="B84" s="2273" t="s">
        <v>891</v>
      </c>
      <c r="C84" s="2322" t="s">
        <v>468</v>
      </c>
      <c r="D84" s="2296" t="s">
        <v>696</v>
      </c>
      <c r="E84" s="1307" t="s">
        <v>1054</v>
      </c>
      <c r="F84" s="1350" t="s">
        <v>274</v>
      </c>
      <c r="G84" s="2258"/>
      <c r="H84" s="1881"/>
      <c r="I84" s="1429">
        <f>SUM(I85:I88)</f>
        <v>0</v>
      </c>
      <c r="J84" s="359">
        <f>J85</f>
        <v>125</v>
      </c>
      <c r="K84" s="186">
        <f>K85</f>
        <v>125</v>
      </c>
      <c r="L84" s="186">
        <f>L85</f>
        <v>125</v>
      </c>
      <c r="M84" s="383">
        <f>M85</f>
        <v>125</v>
      </c>
    </row>
    <row r="85" spans="1:13" ht="14.25" hidden="1" customHeight="1" x14ac:dyDescent="0.2">
      <c r="A85" s="194" t="s">
        <v>489</v>
      </c>
      <c r="B85" s="1911" t="s">
        <v>527</v>
      </c>
      <c r="C85" s="2318" t="s">
        <v>469</v>
      </c>
      <c r="D85" s="2064" t="s">
        <v>696</v>
      </c>
      <c r="E85" s="1311" t="s">
        <v>1054</v>
      </c>
      <c r="F85" s="1311" t="s">
        <v>274</v>
      </c>
      <c r="G85" s="1311" t="s">
        <v>920</v>
      </c>
      <c r="H85" s="1682"/>
      <c r="I85" s="1427">
        <f>Бюд.р.!H233</f>
        <v>0</v>
      </c>
      <c r="J85" s="360">
        <v>125</v>
      </c>
      <c r="K85" s="189">
        <v>125</v>
      </c>
      <c r="L85" s="189">
        <v>125</v>
      </c>
      <c r="M85" s="384">
        <v>125</v>
      </c>
    </row>
    <row r="86" spans="1:13" ht="23.25" hidden="1" customHeight="1" x14ac:dyDescent="0.2">
      <c r="A86" s="193" t="s">
        <v>857</v>
      </c>
      <c r="B86" s="2273" t="s">
        <v>902</v>
      </c>
      <c r="C86" s="2335" t="s">
        <v>645</v>
      </c>
      <c r="D86" s="2296" t="s">
        <v>696</v>
      </c>
      <c r="E86" s="1307" t="s">
        <v>465</v>
      </c>
      <c r="F86" s="1350" t="s">
        <v>515</v>
      </c>
      <c r="G86" s="1307"/>
      <c r="H86" s="1881"/>
      <c r="I86" s="1429">
        <f>I87</f>
        <v>0</v>
      </c>
      <c r="J86" s="359">
        <f>J87</f>
        <v>0</v>
      </c>
      <c r="K86" s="186">
        <f>K87</f>
        <v>0</v>
      </c>
      <c r="L86" s="186">
        <f>L87</f>
        <v>0</v>
      </c>
      <c r="M86" s="383">
        <f>M87</f>
        <v>0</v>
      </c>
    </row>
    <row r="87" spans="1:13" ht="16.5" hidden="1" customHeight="1" x14ac:dyDescent="0.2">
      <c r="A87" s="194" t="s">
        <v>748</v>
      </c>
      <c r="B87" s="1911" t="s">
        <v>156</v>
      </c>
      <c r="C87" s="2318" t="s">
        <v>469</v>
      </c>
      <c r="D87" s="2064" t="s">
        <v>696</v>
      </c>
      <c r="E87" s="1311" t="s">
        <v>465</v>
      </c>
      <c r="F87" s="1311" t="s">
        <v>515</v>
      </c>
      <c r="G87" s="1311" t="s">
        <v>920</v>
      </c>
      <c r="H87" s="1682"/>
      <c r="I87" s="1427"/>
      <c r="J87" s="360">
        <v>0</v>
      </c>
      <c r="K87" s="189">
        <v>0</v>
      </c>
      <c r="L87" s="189">
        <v>0</v>
      </c>
      <c r="M87" s="384">
        <v>0</v>
      </c>
    </row>
    <row r="88" spans="1:13" ht="13.5" hidden="1" customHeight="1" x14ac:dyDescent="0.2">
      <c r="A88" s="194"/>
      <c r="B88" s="1911" t="s">
        <v>10</v>
      </c>
      <c r="C88" s="2318" t="s">
        <v>1062</v>
      </c>
      <c r="D88" s="2064" t="s">
        <v>696</v>
      </c>
      <c r="E88" s="1311" t="s">
        <v>1054</v>
      </c>
      <c r="F88" s="1311" t="s">
        <v>274</v>
      </c>
      <c r="G88" s="1311">
        <f>Бюд.р.!F237</f>
        <v>630</v>
      </c>
      <c r="H88" s="1682"/>
      <c r="I88" s="1427">
        <f>Бюд.р.!H237</f>
        <v>0</v>
      </c>
      <c r="J88" s="360"/>
      <c r="K88" s="189"/>
      <c r="L88" s="189"/>
      <c r="M88" s="384"/>
    </row>
    <row r="89" spans="1:13" ht="28.5" customHeight="1" x14ac:dyDescent="0.2">
      <c r="A89" s="194"/>
      <c r="B89" s="2273" t="s">
        <v>891</v>
      </c>
      <c r="C89" s="2326" t="str">
        <f>Бюд.р.!A240</f>
        <v>РАСХОДЫ НА ОСУЩЕСТВЛЕНИЕ ЗАКУПОК ТОВАРОВ, РАБОТ, УСЛУГ ДЛЯ ОБЕСПЕЧЕНИЯ МУНИЦИПАЛЬНЫХ НУЖД</v>
      </c>
      <c r="D89" s="2300">
        <v>968</v>
      </c>
      <c r="E89" s="2472" t="s">
        <v>1054</v>
      </c>
      <c r="F89" s="1331" t="str">
        <f>F90</f>
        <v>092 02 00</v>
      </c>
      <c r="G89" s="1331"/>
      <c r="H89" s="2357"/>
      <c r="I89" s="1430">
        <f>I90</f>
        <v>400</v>
      </c>
      <c r="J89" s="360"/>
      <c r="K89" s="189"/>
      <c r="L89" s="189"/>
      <c r="M89" s="384"/>
    </row>
    <row r="90" spans="1:13" ht="24.75" customHeight="1" x14ac:dyDescent="0.2">
      <c r="A90" s="194"/>
      <c r="B90" s="1911" t="s">
        <v>10</v>
      </c>
      <c r="C90" s="2329" t="str">
        <f>Бюд.р.!A241</f>
        <v>Закупка товаров, работ и услуг  для государственных (муниципальных) нужд</v>
      </c>
      <c r="D90" s="2301">
        <v>968</v>
      </c>
      <c r="E90" s="2473" t="s">
        <v>1054</v>
      </c>
      <c r="F90" s="1333" t="s">
        <v>636</v>
      </c>
      <c r="G90" s="1333">
        <f>Бюд.р.!F241</f>
        <v>200</v>
      </c>
      <c r="H90" s="1693"/>
      <c r="I90" s="1431">
        <f>Бюд.р.!H242</f>
        <v>400</v>
      </c>
      <c r="J90" s="360"/>
      <c r="K90" s="189"/>
      <c r="L90" s="189"/>
      <c r="M90" s="384"/>
    </row>
    <row r="91" spans="1:13" ht="36.75" customHeight="1" x14ac:dyDescent="0.2">
      <c r="A91" s="205"/>
      <c r="B91" s="2273" t="s">
        <v>166</v>
      </c>
      <c r="C91" s="2326" t="s">
        <v>1138</v>
      </c>
      <c r="D91" s="2299">
        <v>968</v>
      </c>
      <c r="E91" s="2477" t="s">
        <v>1054</v>
      </c>
      <c r="F91" s="1329" t="str">
        <f>F92</f>
        <v>092 05 00</v>
      </c>
      <c r="G91" s="1311"/>
      <c r="H91" s="1682"/>
      <c r="I91" s="1429">
        <f>I92</f>
        <v>72</v>
      </c>
      <c r="J91" s="361"/>
      <c r="K91" s="237"/>
      <c r="L91" s="237"/>
      <c r="M91" s="350"/>
    </row>
    <row r="92" spans="1:13" ht="15" customHeight="1" x14ac:dyDescent="0.2">
      <c r="A92" s="205"/>
      <c r="B92" s="1911" t="s">
        <v>167</v>
      </c>
      <c r="C92" s="2329" t="str">
        <f>Бюд.р.!A246</f>
        <v>Иные бюджетные ассигнования</v>
      </c>
      <c r="D92" s="2064" t="s">
        <v>696</v>
      </c>
      <c r="E92" s="1311" t="s">
        <v>1054</v>
      </c>
      <c r="F92" s="1311" t="s">
        <v>524</v>
      </c>
      <c r="G92" s="1311">
        <f>Бюд.р.!F246</f>
        <v>800</v>
      </c>
      <c r="H92" s="1682"/>
      <c r="I92" s="1427">
        <f>Бюд.р.!H247</f>
        <v>72</v>
      </c>
      <c r="J92" s="361"/>
      <c r="K92" s="237"/>
      <c r="L92" s="237"/>
      <c r="M92" s="350"/>
    </row>
    <row r="93" spans="1:13" ht="46.5" customHeight="1" x14ac:dyDescent="0.2">
      <c r="A93" s="205"/>
      <c r="B93" s="2273" t="s">
        <v>1267</v>
      </c>
      <c r="C93" s="2326" t="s">
        <v>1139</v>
      </c>
      <c r="D93" s="2300">
        <v>968</v>
      </c>
      <c r="E93" s="2472" t="s">
        <v>1054</v>
      </c>
      <c r="F93" s="1331" t="str">
        <f>F94</f>
        <v>092 06 00</v>
      </c>
      <c r="G93" s="1331"/>
      <c r="H93" s="2357"/>
      <c r="I93" s="1430">
        <f>I94</f>
        <v>333.91999999999996</v>
      </c>
      <c r="J93" s="361"/>
      <c r="K93" s="237"/>
      <c r="L93" s="237"/>
      <c r="M93" s="350"/>
    </row>
    <row r="94" spans="1:13" ht="26.25" customHeight="1" x14ac:dyDescent="0.2">
      <c r="A94" s="205"/>
      <c r="B94" s="1911" t="s">
        <v>1268</v>
      </c>
      <c r="C94" s="2329" t="str">
        <f>Бюд.р.!A251</f>
        <v>Закупка товаров, работ и услуг  для государственных (муниципальных) нужд</v>
      </c>
      <c r="D94" s="2301">
        <v>968</v>
      </c>
      <c r="E94" s="2473" t="s">
        <v>1054</v>
      </c>
      <c r="F94" s="1333" t="s">
        <v>1140</v>
      </c>
      <c r="G94" s="1333">
        <f>Бюд.р.!F251</f>
        <v>200</v>
      </c>
      <c r="H94" s="1693"/>
      <c r="I94" s="1431">
        <f>Бюд.р.!H252</f>
        <v>333.91999999999996</v>
      </c>
      <c r="J94" s="361"/>
      <c r="K94" s="237"/>
      <c r="L94" s="237"/>
      <c r="M94" s="350"/>
    </row>
    <row r="95" spans="1:13" ht="20.25" customHeight="1" x14ac:dyDescent="0.2">
      <c r="A95" s="205"/>
      <c r="B95" s="2273" t="s">
        <v>1269</v>
      </c>
      <c r="C95" s="2327" t="str">
        <f>Бюд.р.!A261</f>
        <v>РАСХОДЫ НА ОСУЩЕСТВЛЕНИЕ ЗАЩИТЫ ПРАВ ПОТРЕБИТЕЛЕЙ</v>
      </c>
      <c r="D95" s="2944">
        <f>Бюд.р.!B261</f>
        <v>968</v>
      </c>
      <c r="E95" s="2472" t="s">
        <v>1054</v>
      </c>
      <c r="F95" s="1331" t="str">
        <f>Бюд.р.!D261</f>
        <v>092 10 00</v>
      </c>
      <c r="G95" s="1331"/>
      <c r="H95" s="2357"/>
      <c r="I95" s="1430">
        <f>I96</f>
        <v>133.91999999999999</v>
      </c>
      <c r="J95" s="361"/>
      <c r="K95" s="237"/>
      <c r="L95" s="237"/>
      <c r="M95" s="350"/>
    </row>
    <row r="96" spans="1:13" ht="26.25" customHeight="1" x14ac:dyDescent="0.2">
      <c r="A96" s="205"/>
      <c r="B96" s="1911" t="s">
        <v>1270</v>
      </c>
      <c r="C96" s="2329" t="str">
        <f>Бюд.р.!A262</f>
        <v>Закупка товаров, работ и услуг  для государственных (муниципальных) нужд</v>
      </c>
      <c r="D96" s="2301">
        <f>Бюд.р.!B262</f>
        <v>968</v>
      </c>
      <c r="E96" s="2473" t="s">
        <v>1054</v>
      </c>
      <c r="F96" s="1333" t="str">
        <f>Бюд.р.!D262</f>
        <v>092 10 00</v>
      </c>
      <c r="G96" s="1333">
        <f>Бюд.р.!F262</f>
        <v>200</v>
      </c>
      <c r="H96" s="1693"/>
      <c r="I96" s="1431">
        <f>Бюд.р.!H262</f>
        <v>133.91999999999999</v>
      </c>
      <c r="J96" s="361"/>
      <c r="K96" s="237"/>
      <c r="L96" s="237"/>
      <c r="M96" s="350"/>
    </row>
    <row r="97" spans="1:16" ht="22.5" x14ac:dyDescent="0.2">
      <c r="A97" s="205"/>
      <c r="B97" s="2273" t="s">
        <v>1599</v>
      </c>
      <c r="C97" s="2326" t="s">
        <v>1145</v>
      </c>
      <c r="D97" s="2299">
        <v>968</v>
      </c>
      <c r="E97" s="2477" t="s">
        <v>1054</v>
      </c>
      <c r="F97" s="1329" t="str">
        <f>F98</f>
        <v>795 02 00</v>
      </c>
      <c r="G97" s="2259"/>
      <c r="H97" s="1882"/>
      <c r="I97" s="1429">
        <f>I98</f>
        <v>90</v>
      </c>
      <c r="J97" s="361"/>
      <c r="K97" s="237"/>
      <c r="L97" s="237"/>
      <c r="M97" s="350"/>
    </row>
    <row r="98" spans="1:16" ht="25.5" customHeight="1" x14ac:dyDescent="0.2">
      <c r="A98" s="205"/>
      <c r="B98" s="1911" t="s">
        <v>1600</v>
      </c>
      <c r="C98" s="2329" t="str">
        <f>Бюд.р.!A267</f>
        <v>Закупка товаров, работ и услуг  для государственных (муниципальных) нужд</v>
      </c>
      <c r="D98" s="2301">
        <v>968</v>
      </c>
      <c r="E98" s="2473" t="s">
        <v>1054</v>
      </c>
      <c r="F98" s="1333" t="s">
        <v>1143</v>
      </c>
      <c r="G98" s="1333">
        <f>Бюд.р.!F267</f>
        <v>200</v>
      </c>
      <c r="H98" s="1693"/>
      <c r="I98" s="1431">
        <f>Бюд.р.!H268</f>
        <v>90</v>
      </c>
      <c r="J98" s="361"/>
      <c r="K98" s="237"/>
      <c r="L98" s="237"/>
      <c r="M98" s="350"/>
    </row>
    <row r="99" spans="1:16" ht="25.5" hidden="1" x14ac:dyDescent="0.2">
      <c r="A99" s="205"/>
      <c r="B99" s="2272" t="s">
        <v>739</v>
      </c>
      <c r="C99" s="2320" t="s">
        <v>281</v>
      </c>
      <c r="D99" s="2294" t="s">
        <v>696</v>
      </c>
      <c r="E99" s="2254" t="s">
        <v>523</v>
      </c>
      <c r="F99" s="2254"/>
      <c r="G99" s="2260"/>
      <c r="H99" s="2366"/>
      <c r="I99" s="2381">
        <f>I102</f>
        <v>276.351</v>
      </c>
      <c r="J99" s="365" t="e">
        <f>J102</f>
        <v>#REF!</v>
      </c>
      <c r="K99" s="349" t="e">
        <f>K102</f>
        <v>#REF!</v>
      </c>
      <c r="L99" s="349" t="e">
        <f>L102</f>
        <v>#REF!</v>
      </c>
      <c r="M99" s="388" t="e">
        <f>M102</f>
        <v>#REF!</v>
      </c>
    </row>
    <row r="100" spans="1:16" ht="60" customHeight="1" x14ac:dyDescent="0.2">
      <c r="A100" s="205"/>
      <c r="B100" s="2273" t="s">
        <v>1601</v>
      </c>
      <c r="C100" s="2326" t="str">
        <f>Бюд.р.!A273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100" s="2299">
        <v>968</v>
      </c>
      <c r="E100" s="2477" t="s">
        <v>1054</v>
      </c>
      <c r="F100" s="1329" t="str">
        <f>Бюд.р.!D273</f>
        <v>795 11 00</v>
      </c>
      <c r="G100" s="2259"/>
      <c r="H100" s="1882"/>
      <c r="I100" s="1429">
        <f>I101</f>
        <v>136.5</v>
      </c>
      <c r="J100" s="365"/>
      <c r="K100" s="349"/>
      <c r="L100" s="349"/>
      <c r="M100" s="388"/>
    </row>
    <row r="101" spans="1:16" ht="22.5" x14ac:dyDescent="0.2">
      <c r="A101" s="205"/>
      <c r="B101" s="1911" t="s">
        <v>1602</v>
      </c>
      <c r="C101" s="2329" t="str">
        <f>Бюд.р.!A274</f>
        <v>Закупка товаров, работ и услуг  для государственных (муниципальных) нужд</v>
      </c>
      <c r="D101" s="2301">
        <v>968</v>
      </c>
      <c r="E101" s="2473" t="s">
        <v>1054</v>
      </c>
      <c r="F101" s="1333" t="str">
        <f>Бюд.р.!D274</f>
        <v>795 11 00</v>
      </c>
      <c r="G101" s="1333">
        <f>Бюд.р.!F274</f>
        <v>200</v>
      </c>
      <c r="H101" s="1693"/>
      <c r="I101" s="1431">
        <f>Бюд.р.!H274</f>
        <v>136.5</v>
      </c>
      <c r="J101" s="365"/>
      <c r="K101" s="349"/>
      <c r="L101" s="349"/>
      <c r="M101" s="388"/>
    </row>
    <row r="102" spans="1:16" ht="40.5" customHeight="1" x14ac:dyDescent="0.2">
      <c r="A102" s="205"/>
      <c r="B102" s="2429" t="s">
        <v>351</v>
      </c>
      <c r="C102" s="2430" t="s">
        <v>1053</v>
      </c>
      <c r="D102" s="2431" t="s">
        <v>696</v>
      </c>
      <c r="E102" s="2432" t="s">
        <v>462</v>
      </c>
      <c r="F102" s="2446"/>
      <c r="G102" s="2446"/>
      <c r="H102" s="2447"/>
      <c r="I102" s="2434">
        <f>I113+I121</f>
        <v>276.351</v>
      </c>
      <c r="J102" s="364" t="e">
        <f>#REF!+#REF!</f>
        <v>#REF!</v>
      </c>
      <c r="K102" s="347" t="e">
        <f>#REF!+#REF!</f>
        <v>#REF!</v>
      </c>
      <c r="L102" s="347" t="e">
        <f>#REF!+#REF!</f>
        <v>#REF!</v>
      </c>
      <c r="M102" s="387" t="e">
        <f>#REF!+#REF!</f>
        <v>#REF!</v>
      </c>
    </row>
    <row r="103" spans="1:16" hidden="1" x14ac:dyDescent="0.2">
      <c r="A103" s="205"/>
      <c r="B103" s="2281"/>
      <c r="C103" s="2322" t="s">
        <v>294</v>
      </c>
      <c r="D103" s="2298"/>
      <c r="E103" s="1314" t="s">
        <v>493</v>
      </c>
      <c r="F103" s="1314" t="s">
        <v>940</v>
      </c>
      <c r="G103" s="1314" t="s">
        <v>921</v>
      </c>
      <c r="H103" s="2353" t="s">
        <v>295</v>
      </c>
      <c r="I103" s="1428"/>
      <c r="J103" s="361"/>
      <c r="K103" s="237"/>
      <c r="L103" s="237"/>
      <c r="M103" s="350"/>
    </row>
    <row r="104" spans="1:16" hidden="1" x14ac:dyDescent="0.2">
      <c r="A104" s="205"/>
      <c r="B104" s="2281"/>
      <c r="C104" s="2323" t="s">
        <v>314</v>
      </c>
      <c r="D104" s="2298"/>
      <c r="E104" s="1322" t="s">
        <v>493</v>
      </c>
      <c r="F104" s="1322" t="s">
        <v>940</v>
      </c>
      <c r="G104" s="1322" t="s">
        <v>921</v>
      </c>
      <c r="H104" s="2355" t="s">
        <v>505</v>
      </c>
      <c r="I104" s="1428"/>
      <c r="J104" s="361"/>
      <c r="K104" s="237"/>
      <c r="L104" s="237"/>
      <c r="M104" s="350"/>
    </row>
    <row r="105" spans="1:16" hidden="1" x14ac:dyDescent="0.2">
      <c r="A105" s="205"/>
      <c r="B105" s="2281"/>
      <c r="C105" s="2336" t="s">
        <v>135</v>
      </c>
      <c r="D105" s="2298"/>
      <c r="E105" s="1322" t="s">
        <v>493</v>
      </c>
      <c r="F105" s="1322" t="s">
        <v>940</v>
      </c>
      <c r="G105" s="1322" t="s">
        <v>921</v>
      </c>
      <c r="H105" s="2355" t="s">
        <v>919</v>
      </c>
      <c r="I105" s="1428"/>
      <c r="J105" s="361"/>
      <c r="K105" s="237"/>
      <c r="L105" s="237"/>
      <c r="M105" s="350"/>
    </row>
    <row r="106" spans="1:16" ht="27.75" hidden="1" customHeight="1" thickBot="1" x14ac:dyDescent="0.25">
      <c r="A106" s="193" t="s">
        <v>902</v>
      </c>
      <c r="B106" s="2274"/>
      <c r="C106" s="2330" t="s">
        <v>860</v>
      </c>
      <c r="D106" s="2296"/>
      <c r="E106" s="1307" t="s">
        <v>493</v>
      </c>
      <c r="F106" s="1307" t="s">
        <v>644</v>
      </c>
      <c r="G106" s="1307"/>
      <c r="H106" s="1881"/>
      <c r="I106" s="1428"/>
      <c r="J106" s="361"/>
      <c r="K106" s="237"/>
      <c r="L106" s="237"/>
      <c r="M106" s="350"/>
    </row>
    <row r="107" spans="1:16" hidden="1" x14ac:dyDescent="0.2">
      <c r="A107" s="194" t="s">
        <v>903</v>
      </c>
      <c r="B107" s="2274"/>
      <c r="C107" s="2322" t="s">
        <v>180</v>
      </c>
      <c r="D107" s="2307"/>
      <c r="E107" s="1345" t="s">
        <v>493</v>
      </c>
      <c r="F107" s="1345" t="s">
        <v>644</v>
      </c>
      <c r="G107" s="1345" t="s">
        <v>921</v>
      </c>
      <c r="H107" s="1681"/>
      <c r="I107" s="1428"/>
      <c r="J107" s="361"/>
      <c r="K107" s="237"/>
      <c r="L107" s="237"/>
      <c r="M107" s="350"/>
    </row>
    <row r="108" spans="1:16" hidden="1" x14ac:dyDescent="0.2">
      <c r="A108" s="197" t="s">
        <v>861</v>
      </c>
      <c r="B108" s="1910"/>
      <c r="C108" s="2322" t="s">
        <v>294</v>
      </c>
      <c r="D108" s="2309"/>
      <c r="E108" s="1314" t="s">
        <v>493</v>
      </c>
      <c r="F108" s="1314" t="s">
        <v>644</v>
      </c>
      <c r="G108" s="1314" t="s">
        <v>921</v>
      </c>
      <c r="H108" s="2353" t="s">
        <v>295</v>
      </c>
      <c r="I108" s="1428"/>
      <c r="J108" s="361"/>
      <c r="K108" s="237"/>
      <c r="L108" s="237"/>
      <c r="M108" s="350"/>
    </row>
    <row r="109" spans="1:16" hidden="1" x14ac:dyDescent="0.2">
      <c r="A109" s="198" t="s">
        <v>862</v>
      </c>
      <c r="B109" s="1911"/>
      <c r="C109" s="2323" t="s">
        <v>314</v>
      </c>
      <c r="D109" s="2297"/>
      <c r="E109" s="1322" t="s">
        <v>493</v>
      </c>
      <c r="F109" s="1322" t="s">
        <v>644</v>
      </c>
      <c r="G109" s="1322" t="s">
        <v>921</v>
      </c>
      <c r="H109" s="2355" t="s">
        <v>505</v>
      </c>
      <c r="I109" s="1428"/>
      <c r="J109" s="361"/>
      <c r="K109" s="237"/>
      <c r="L109" s="237"/>
      <c r="M109" s="350"/>
    </row>
    <row r="110" spans="1:16" hidden="1" x14ac:dyDescent="0.2">
      <c r="A110" s="203" t="s">
        <v>215</v>
      </c>
      <c r="B110" s="2280"/>
      <c r="C110" s="2336" t="s">
        <v>135</v>
      </c>
      <c r="D110" s="2297"/>
      <c r="E110" s="1322" t="s">
        <v>493</v>
      </c>
      <c r="F110" s="1322" t="s">
        <v>644</v>
      </c>
      <c r="G110" s="1322" t="s">
        <v>921</v>
      </c>
      <c r="H110" s="2355" t="s">
        <v>919</v>
      </c>
      <c r="I110" s="1428"/>
      <c r="J110" s="361"/>
      <c r="K110" s="237"/>
      <c r="L110" s="237"/>
      <c r="M110" s="350"/>
    </row>
    <row r="111" spans="1:16" ht="32.25" hidden="1" thickBot="1" x14ac:dyDescent="0.3">
      <c r="A111" s="191" t="s">
        <v>739</v>
      </c>
      <c r="B111" s="2271"/>
      <c r="C111" s="2337" t="s">
        <v>281</v>
      </c>
      <c r="D111" s="2310"/>
      <c r="E111" s="1358" t="s">
        <v>311</v>
      </c>
      <c r="F111" s="1358"/>
      <c r="G111" s="1358"/>
      <c r="H111" s="2367"/>
      <c r="I111" s="1428"/>
      <c r="J111" s="361"/>
      <c r="K111" s="237"/>
      <c r="L111" s="237"/>
      <c r="M111" s="350"/>
    </row>
    <row r="112" spans="1:16" ht="40.5" hidden="1" customHeight="1" thickBot="1" x14ac:dyDescent="0.25">
      <c r="A112" s="192" t="s">
        <v>123</v>
      </c>
      <c r="B112" s="2274"/>
      <c r="C112" s="2338" t="s">
        <v>889</v>
      </c>
      <c r="D112" s="2306"/>
      <c r="E112" s="1326" t="s">
        <v>319</v>
      </c>
      <c r="F112" s="1326"/>
      <c r="G112" s="1326"/>
      <c r="H112" s="2356"/>
      <c r="I112" s="1428"/>
      <c r="J112" s="361"/>
      <c r="K112" s="237"/>
      <c r="L112" s="237"/>
      <c r="M112" s="350"/>
      <c r="N112" s="154"/>
      <c r="O112" s="154"/>
      <c r="P112" s="154"/>
    </row>
    <row r="113" spans="1:13" ht="118.5" customHeight="1" x14ac:dyDescent="0.2">
      <c r="A113" s="193"/>
      <c r="B113" s="2273" t="s">
        <v>118</v>
      </c>
      <c r="C113" s="2326" t="str">
        <f>Бюд.р.!A281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113" s="2308">
        <v>968</v>
      </c>
      <c r="E113" s="2481" t="s">
        <v>462</v>
      </c>
      <c r="F113" s="1348" t="str">
        <f>F114</f>
        <v>795 03 00</v>
      </c>
      <c r="G113" s="1307"/>
      <c r="H113" s="1881"/>
      <c r="I113" s="1433">
        <f>I114</f>
        <v>151.351</v>
      </c>
      <c r="J113" s="359"/>
      <c r="K113" s="186"/>
      <c r="L113" s="186"/>
      <c r="M113" s="383"/>
    </row>
    <row r="114" spans="1:13" ht="25.5" customHeight="1" x14ac:dyDescent="0.2">
      <c r="A114" s="193"/>
      <c r="B114" s="2282" t="s">
        <v>1232</v>
      </c>
      <c r="C114" s="2329" t="str">
        <f>Бюд.р.!A282</f>
        <v>Закупка товаров, работ и услуг  для государственных (муниципальных) нужд</v>
      </c>
      <c r="D114" s="2301">
        <v>968</v>
      </c>
      <c r="E114" s="2473" t="s">
        <v>462</v>
      </c>
      <c r="F114" s="1333" t="str">
        <f>Бюд.р.!D283</f>
        <v>795 03 00</v>
      </c>
      <c r="G114" s="1751">
        <f>Бюд.р.!F282</f>
        <v>200</v>
      </c>
      <c r="H114" s="1693"/>
      <c r="I114" s="1431">
        <f>Бюд.р.!H283</f>
        <v>151.351</v>
      </c>
      <c r="J114" s="359"/>
      <c r="K114" s="186"/>
      <c r="L114" s="186"/>
      <c r="M114" s="383"/>
    </row>
    <row r="115" spans="1:13" hidden="1" x14ac:dyDescent="0.2">
      <c r="A115" s="206" t="s">
        <v>213</v>
      </c>
      <c r="B115" s="2273"/>
      <c r="C115" s="2322" t="s">
        <v>294</v>
      </c>
      <c r="D115" s="2309"/>
      <c r="E115" s="2475" t="s">
        <v>319</v>
      </c>
      <c r="F115" s="1314" t="s">
        <v>810</v>
      </c>
      <c r="G115" s="1314" t="s">
        <v>296</v>
      </c>
      <c r="H115" s="2353" t="s">
        <v>295</v>
      </c>
      <c r="I115" s="1428"/>
      <c r="J115" s="361"/>
      <c r="K115" s="237"/>
      <c r="L115" s="237"/>
      <c r="M115" s="350"/>
    </row>
    <row r="116" spans="1:13" ht="15" hidden="1" customHeight="1" thickBot="1" x14ac:dyDescent="0.25">
      <c r="A116" s="202" t="s">
        <v>783</v>
      </c>
      <c r="B116" s="2282"/>
      <c r="C116" s="2324" t="s">
        <v>278</v>
      </c>
      <c r="D116" s="2298"/>
      <c r="E116" s="1822" t="s">
        <v>319</v>
      </c>
      <c r="F116" s="1322" t="s">
        <v>810</v>
      </c>
      <c r="G116" s="1322" t="s">
        <v>296</v>
      </c>
      <c r="H116" s="2355" t="s">
        <v>318</v>
      </c>
      <c r="I116" s="1428"/>
      <c r="J116" s="361"/>
      <c r="K116" s="237"/>
      <c r="L116" s="237"/>
      <c r="M116" s="350"/>
    </row>
    <row r="117" spans="1:13" ht="45.75" hidden="1" customHeight="1" x14ac:dyDescent="0.2">
      <c r="A117" s="202"/>
      <c r="B117" s="1910" t="s">
        <v>159</v>
      </c>
      <c r="C117" s="2326" t="s">
        <v>36</v>
      </c>
      <c r="D117" s="2308">
        <v>968</v>
      </c>
      <c r="E117" s="2481">
        <v>309</v>
      </c>
      <c r="F117" s="1348" t="s">
        <v>13</v>
      </c>
      <c r="G117" s="1360"/>
      <c r="H117" s="2355"/>
      <c r="I117" s="1433">
        <f>I118</f>
        <v>0</v>
      </c>
      <c r="J117" s="361"/>
      <c r="K117" s="237"/>
      <c r="L117" s="237"/>
      <c r="M117" s="350"/>
    </row>
    <row r="118" spans="1:13" ht="15" hidden="1" customHeight="1" x14ac:dyDescent="0.2">
      <c r="A118" s="202"/>
      <c r="B118" s="1911" t="s">
        <v>164</v>
      </c>
      <c r="C118" s="2329" t="s">
        <v>469</v>
      </c>
      <c r="D118" s="2301">
        <v>968</v>
      </c>
      <c r="E118" s="2473">
        <v>309</v>
      </c>
      <c r="F118" s="1333" t="s">
        <v>13</v>
      </c>
      <c r="G118" s="1333">
        <v>500</v>
      </c>
      <c r="H118" s="2359"/>
      <c r="I118" s="1431">
        <f>Бюд.р.!H292</f>
        <v>0</v>
      </c>
      <c r="J118" s="361"/>
      <c r="K118" s="237"/>
      <c r="L118" s="237"/>
      <c r="M118" s="350"/>
    </row>
    <row r="119" spans="1:13" ht="47.25" hidden="1" customHeight="1" x14ac:dyDescent="0.2">
      <c r="A119" s="193"/>
      <c r="B119" s="2273"/>
      <c r="C119" s="2326"/>
      <c r="D119" s="2299"/>
      <c r="E119" s="2477"/>
      <c r="F119" s="1329"/>
      <c r="G119" s="1307"/>
      <c r="H119" s="1881"/>
      <c r="I119" s="1429"/>
      <c r="J119" s="359"/>
      <c r="K119" s="186"/>
      <c r="L119" s="186"/>
      <c r="M119" s="383"/>
    </row>
    <row r="120" spans="1:13" ht="13.5" hidden="1" customHeight="1" x14ac:dyDescent="0.2">
      <c r="A120" s="194" t="s">
        <v>812</v>
      </c>
      <c r="B120" s="1911"/>
      <c r="C120" s="2318"/>
      <c r="D120" s="2064"/>
      <c r="E120" s="2255"/>
      <c r="F120" s="1311"/>
      <c r="G120" s="1311"/>
      <c r="H120" s="1682"/>
      <c r="I120" s="1427"/>
      <c r="J120" s="360"/>
      <c r="K120" s="189">
        <v>25</v>
      </c>
      <c r="L120" s="189"/>
      <c r="M120" s="384">
        <v>25</v>
      </c>
    </row>
    <row r="121" spans="1:13" ht="46.5" customHeight="1" x14ac:dyDescent="0.2">
      <c r="A121" s="192"/>
      <c r="B121" s="2273" t="s">
        <v>1272</v>
      </c>
      <c r="C121" s="2326" t="s">
        <v>1147</v>
      </c>
      <c r="D121" s="2299">
        <v>968</v>
      </c>
      <c r="E121" s="2477" t="s">
        <v>462</v>
      </c>
      <c r="F121" s="1329" t="str">
        <f>F122</f>
        <v>795 05 00</v>
      </c>
      <c r="G121" s="1307"/>
      <c r="H121" s="1881"/>
      <c r="I121" s="1429">
        <f>I122</f>
        <v>125</v>
      </c>
      <c r="J121" s="361"/>
      <c r="K121" s="237"/>
      <c r="L121" s="237"/>
      <c r="M121" s="350"/>
    </row>
    <row r="122" spans="1:13" ht="29.25" customHeight="1" x14ac:dyDescent="0.2">
      <c r="A122" s="192"/>
      <c r="B122" s="1911" t="s">
        <v>1273</v>
      </c>
      <c r="C122" s="2329" t="str">
        <f>Бюд.р.!A303</f>
        <v>Закупка товаров, работ и услуг  для государственных (муниципальных) нужд</v>
      </c>
      <c r="D122" s="2064" t="s">
        <v>696</v>
      </c>
      <c r="E122" s="1311" t="s">
        <v>462</v>
      </c>
      <c r="F122" s="1311" t="s">
        <v>15</v>
      </c>
      <c r="G122" s="1311">
        <f>Бюд.р.!F303</f>
        <v>200</v>
      </c>
      <c r="H122" s="1682"/>
      <c r="I122" s="1427">
        <f>Бюд.р.!H304</f>
        <v>125</v>
      </c>
      <c r="J122" s="361"/>
      <c r="K122" s="237"/>
      <c r="L122" s="237"/>
      <c r="M122" s="350"/>
    </row>
    <row r="123" spans="1:13" hidden="1" x14ac:dyDescent="0.2">
      <c r="A123" s="192"/>
      <c r="B123" s="2272" t="s">
        <v>740</v>
      </c>
      <c r="C123" s="2320" t="s">
        <v>1014</v>
      </c>
      <c r="D123" s="2294" t="s">
        <v>696</v>
      </c>
      <c r="E123" s="2254" t="s">
        <v>1026</v>
      </c>
      <c r="F123" s="2254"/>
      <c r="G123" s="2260"/>
      <c r="H123" s="2366"/>
      <c r="I123" s="2381">
        <f>I124++I127+I130</f>
        <v>186.5</v>
      </c>
      <c r="J123" s="361"/>
      <c r="K123" s="237"/>
      <c r="L123" s="237"/>
      <c r="M123" s="350"/>
    </row>
    <row r="124" spans="1:13" x14ac:dyDescent="0.2">
      <c r="A124" s="192"/>
      <c r="B124" s="2429" t="s">
        <v>893</v>
      </c>
      <c r="C124" s="2448" t="s">
        <v>1064</v>
      </c>
      <c r="D124" s="2431">
        <v>968</v>
      </c>
      <c r="E124" s="2479" t="s">
        <v>1441</v>
      </c>
      <c r="F124" s="2432"/>
      <c r="G124" s="2432"/>
      <c r="H124" s="2433"/>
      <c r="I124" s="2434">
        <f>I125</f>
        <v>166.5</v>
      </c>
      <c r="J124" s="361"/>
      <c r="K124" s="237"/>
      <c r="L124" s="237"/>
      <c r="M124" s="350"/>
    </row>
    <row r="125" spans="1:13" ht="22.5" x14ac:dyDescent="0.2">
      <c r="A125" s="192"/>
      <c r="B125" s="2274" t="s">
        <v>111</v>
      </c>
      <c r="C125" s="2326" t="str">
        <f>Бюд.р.!A310</f>
        <v>ВРЕМЕННОЕ ТРУДОУСТРОЙСТВО НЕСОВЕРШЕННОЛЕТНИХ В ВОЗРАСТЕ ОТ 14 ДО 18 ЛЕТ В СВОБОДНОЕ ОТ УЧЕБЫ ВРЕМЯ</v>
      </c>
      <c r="D125" s="2308">
        <v>968</v>
      </c>
      <c r="E125" s="2481" t="s">
        <v>1441</v>
      </c>
      <c r="F125" s="1348" t="s">
        <v>1065</v>
      </c>
      <c r="G125" s="1348"/>
      <c r="H125" s="1881"/>
      <c r="I125" s="1429">
        <f>I126</f>
        <v>166.5</v>
      </c>
      <c r="J125" s="361"/>
      <c r="K125" s="237"/>
      <c r="L125" s="237"/>
      <c r="M125" s="350"/>
    </row>
    <row r="126" spans="1:13" ht="14.25" customHeight="1" x14ac:dyDescent="0.2">
      <c r="A126" s="192"/>
      <c r="B126" s="1911" t="s">
        <v>1233</v>
      </c>
      <c r="C126" s="2329" t="str">
        <f>Бюд.р.!A311</f>
        <v>Иные бюджетные ассигнования</v>
      </c>
      <c r="D126" s="2301">
        <v>968</v>
      </c>
      <c r="E126" s="2473" t="s">
        <v>1441</v>
      </c>
      <c r="F126" s="1333" t="str">
        <f>Бюд.р.!D312</f>
        <v>510 02 00</v>
      </c>
      <c r="G126" s="1333">
        <f>Бюд.р.!F311</f>
        <v>800</v>
      </c>
      <c r="H126" s="1693"/>
      <c r="I126" s="1431">
        <f>Бюд.р.!H314</f>
        <v>166.5</v>
      </c>
      <c r="J126" s="361"/>
      <c r="K126" s="237"/>
      <c r="L126" s="237"/>
      <c r="M126" s="350"/>
    </row>
    <row r="127" spans="1:13" ht="16.5" hidden="1" customHeight="1" x14ac:dyDescent="0.2">
      <c r="A127" s="192"/>
      <c r="B127" s="2283" t="s">
        <v>893</v>
      </c>
      <c r="C127" s="2339" t="s">
        <v>1187</v>
      </c>
      <c r="D127" s="2311">
        <v>968</v>
      </c>
      <c r="E127" s="2263">
        <v>410</v>
      </c>
      <c r="F127" s="2263"/>
      <c r="G127" s="2263"/>
      <c r="H127" s="2352"/>
      <c r="I127" s="1425">
        <f>I128</f>
        <v>0</v>
      </c>
      <c r="J127" s="361"/>
      <c r="K127" s="237"/>
      <c r="L127" s="237"/>
      <c r="M127" s="350"/>
    </row>
    <row r="128" spans="1:13" ht="17.25" hidden="1" customHeight="1" x14ac:dyDescent="0.2">
      <c r="A128" s="192"/>
      <c r="B128" s="2274" t="s">
        <v>111</v>
      </c>
      <c r="C128" s="2326" t="s">
        <v>1189</v>
      </c>
      <c r="D128" s="2308">
        <v>968</v>
      </c>
      <c r="E128" s="1348">
        <v>410</v>
      </c>
      <c r="F128" s="1348" t="s">
        <v>1186</v>
      </c>
      <c r="G128" s="1348"/>
      <c r="H128" s="1881"/>
      <c r="I128" s="1429">
        <f>I129</f>
        <v>0</v>
      </c>
      <c r="J128" s="361"/>
      <c r="K128" s="237"/>
      <c r="L128" s="237"/>
      <c r="M128" s="350"/>
    </row>
    <row r="129" spans="1:13" ht="16.5" hidden="1" customHeight="1" x14ac:dyDescent="0.2">
      <c r="A129" s="192"/>
      <c r="B129" s="1911" t="s">
        <v>1066</v>
      </c>
      <c r="C129" s="2329" t="s">
        <v>1118</v>
      </c>
      <c r="D129" s="2301">
        <v>968</v>
      </c>
      <c r="E129" s="1333">
        <v>410</v>
      </c>
      <c r="F129" s="1333" t="s">
        <v>1186</v>
      </c>
      <c r="G129" s="1333">
        <v>240</v>
      </c>
      <c r="H129" s="1693"/>
      <c r="I129" s="1431">
        <f>Бюд.р.!H317</f>
        <v>0</v>
      </c>
      <c r="J129" s="361"/>
      <c r="K129" s="237"/>
      <c r="L129" s="237"/>
      <c r="M129" s="350"/>
    </row>
    <row r="130" spans="1:13" ht="21" customHeight="1" x14ac:dyDescent="0.2">
      <c r="A130" s="192"/>
      <c r="B130" s="2429" t="s">
        <v>425</v>
      </c>
      <c r="C130" s="2967" t="s">
        <v>1015</v>
      </c>
      <c r="D130" s="2431" t="s">
        <v>696</v>
      </c>
      <c r="E130" s="2432" t="s">
        <v>1025</v>
      </c>
      <c r="F130" s="2432"/>
      <c r="G130" s="2432"/>
      <c r="H130" s="2433"/>
      <c r="I130" s="2434">
        <f>I131</f>
        <v>20</v>
      </c>
      <c r="J130" s="361"/>
      <c r="K130" s="237"/>
      <c r="L130" s="237"/>
      <c r="M130" s="350"/>
    </row>
    <row r="131" spans="1:13" ht="25.5" customHeight="1" x14ac:dyDescent="0.2">
      <c r="A131" s="192"/>
      <c r="B131" s="2274" t="s">
        <v>112</v>
      </c>
      <c r="C131" s="2326" t="s">
        <v>1017</v>
      </c>
      <c r="D131" s="2299">
        <v>968</v>
      </c>
      <c r="E131" s="2477" t="s">
        <v>1025</v>
      </c>
      <c r="F131" s="1329" t="s">
        <v>1016</v>
      </c>
      <c r="G131" s="1329"/>
      <c r="H131" s="1881"/>
      <c r="I131" s="1429">
        <f>I132</f>
        <v>20</v>
      </c>
      <c r="J131" s="361"/>
      <c r="K131" s="237"/>
      <c r="L131" s="237"/>
      <c r="M131" s="350"/>
    </row>
    <row r="132" spans="1:13" ht="25.5" customHeight="1" x14ac:dyDescent="0.2">
      <c r="A132" s="192"/>
      <c r="B132" s="1911" t="s">
        <v>113</v>
      </c>
      <c r="C132" s="2329" t="str">
        <f>Бюд.р.!A322</f>
        <v>Закупка товаров, работ и услуг  для государственных (муниципальных) нужд</v>
      </c>
      <c r="D132" s="2301">
        <v>968</v>
      </c>
      <c r="E132" s="2473" t="s">
        <v>1025</v>
      </c>
      <c r="F132" s="1333" t="str">
        <f>Бюд.р.!D323</f>
        <v>795 07 00</v>
      </c>
      <c r="G132" s="1333">
        <f>Бюд.р.!F322</f>
        <v>200</v>
      </c>
      <c r="H132" s="1693"/>
      <c r="I132" s="1431">
        <f>Бюд.р.!H323</f>
        <v>20</v>
      </c>
      <c r="J132" s="361"/>
      <c r="K132" s="237"/>
      <c r="L132" s="237"/>
      <c r="M132" s="350"/>
    </row>
    <row r="133" spans="1:13" ht="15" hidden="1" x14ac:dyDescent="0.2">
      <c r="A133" s="192"/>
      <c r="B133" s="2272" t="s">
        <v>741</v>
      </c>
      <c r="C133" s="2320" t="s">
        <v>283</v>
      </c>
      <c r="D133" s="2294" t="s">
        <v>696</v>
      </c>
      <c r="E133" s="2254" t="s">
        <v>448</v>
      </c>
      <c r="F133" s="2254"/>
      <c r="G133" s="2254"/>
      <c r="H133" s="2351"/>
      <c r="I133" s="2381">
        <f>I134</f>
        <v>50864.907999999996</v>
      </c>
      <c r="J133" s="365">
        <f>J134</f>
        <v>0</v>
      </c>
      <c r="K133" s="349">
        <f>K134</f>
        <v>10651.100000000002</v>
      </c>
      <c r="L133" s="349">
        <f>L134</f>
        <v>19853.64</v>
      </c>
      <c r="M133" s="388">
        <f>M134</f>
        <v>500</v>
      </c>
    </row>
    <row r="134" spans="1:13" x14ac:dyDescent="0.2">
      <c r="A134" s="192"/>
      <c r="B134" s="2429" t="s">
        <v>426</v>
      </c>
      <c r="C134" s="2430" t="s">
        <v>449</v>
      </c>
      <c r="D134" s="2431" t="s">
        <v>696</v>
      </c>
      <c r="E134" s="2432" t="s">
        <v>450</v>
      </c>
      <c r="F134" s="2432"/>
      <c r="G134" s="2432"/>
      <c r="H134" s="2433"/>
      <c r="I134" s="2434">
        <f>I135+I154+I161+I171</f>
        <v>50864.907999999996</v>
      </c>
      <c r="J134" s="358">
        <f>J135+J154+J161+J171</f>
        <v>0</v>
      </c>
      <c r="K134" s="152">
        <f>K135+K154+K161+K171</f>
        <v>10651.100000000002</v>
      </c>
      <c r="L134" s="152">
        <f>L135+L154+L161+L171</f>
        <v>19853.64</v>
      </c>
      <c r="M134" s="382">
        <f>M135+M154+M161+M171</f>
        <v>500</v>
      </c>
    </row>
    <row r="135" spans="1:13" ht="21.75" customHeight="1" x14ac:dyDescent="0.2">
      <c r="A135" s="192"/>
      <c r="B135" s="2458" t="s">
        <v>11</v>
      </c>
      <c r="C135" s="2459" t="s">
        <v>1164</v>
      </c>
      <c r="D135" s="2460" t="s">
        <v>696</v>
      </c>
      <c r="E135" s="2461" t="s">
        <v>450</v>
      </c>
      <c r="F135" s="2461" t="s">
        <v>451</v>
      </c>
      <c r="G135" s="2461"/>
      <c r="H135" s="2462"/>
      <c r="I135" s="2463">
        <f>I136+I139+I141+I144+I146</f>
        <v>37497.312999999995</v>
      </c>
      <c r="J135" s="153">
        <f>J136+J139+J141+J144+J146</f>
        <v>0</v>
      </c>
      <c r="K135" s="151">
        <f>K136+K139+K141+K144+K146</f>
        <v>4243.2000000000007</v>
      </c>
      <c r="L135" s="151">
        <f>L136+L139+L141+L144+L146</f>
        <v>9564.9399999999987</v>
      </c>
      <c r="M135" s="351">
        <f>M136+M139+M141+M144+M146</f>
        <v>0</v>
      </c>
    </row>
    <row r="136" spans="1:13" ht="34.5" customHeight="1" x14ac:dyDescent="0.2">
      <c r="A136" s="193" t="s">
        <v>299</v>
      </c>
      <c r="B136" s="1910" t="s">
        <v>12</v>
      </c>
      <c r="C136" s="1772" t="str">
        <f>Бюд.р.!A329</f>
        <v>ТЕКУЩИЙ РЕМОНТ ПРИДОМОВЫХ ТЕРРИТОРИЙ И ДВОРОВЫХ ТЕРРИТОРИЙ , ВКЛЮЧАЯ ПРОЕЗДЫ И ВЪЕЗДЫ,ПЕШЕХОДНЫЕ ДОРОЖКИ</v>
      </c>
      <c r="D136" s="2296" t="s">
        <v>696</v>
      </c>
      <c r="E136" s="1307" t="s">
        <v>450</v>
      </c>
      <c r="F136" s="1307" t="s">
        <v>453</v>
      </c>
      <c r="G136" s="1307"/>
      <c r="H136" s="1881"/>
      <c r="I136" s="1429">
        <f>SUM(I137:I138)</f>
        <v>32851.471999999994</v>
      </c>
      <c r="J136" s="359">
        <f>SUM(J137:J137)</f>
        <v>0</v>
      </c>
      <c r="K136" s="186">
        <f>SUM(K137:K137)</f>
        <v>1764.8</v>
      </c>
      <c r="L136" s="186">
        <f>SUM(L137:L137)</f>
        <v>4118</v>
      </c>
      <c r="M136" s="383">
        <f>SUM(M137:M137)</f>
        <v>0</v>
      </c>
    </row>
    <row r="137" spans="1:13" ht="24.75" customHeight="1" x14ac:dyDescent="0.2">
      <c r="A137" s="194" t="s">
        <v>212</v>
      </c>
      <c r="B137" s="1911" t="s">
        <v>1274</v>
      </c>
      <c r="C137" s="2329" t="str">
        <f>Бюд.р.!A330</f>
        <v>Закупка товаров, работ и услуг  для государственных (муниципальных) нужд</v>
      </c>
      <c r="D137" s="2064" t="s">
        <v>696</v>
      </c>
      <c r="E137" s="1311" t="s">
        <v>450</v>
      </c>
      <c r="F137" s="1311" t="str">
        <f>Бюд.р.!D331</f>
        <v>600 01 01</v>
      </c>
      <c r="G137" s="1311">
        <f>Бюд.р.!F330</f>
        <v>200</v>
      </c>
      <c r="H137" s="1682"/>
      <c r="I137" s="1427">
        <f>Бюд.р.!H331</f>
        <v>32309.071999999996</v>
      </c>
      <c r="J137" s="360"/>
      <c r="K137" s="189">
        <v>1764.8</v>
      </c>
      <c r="L137" s="189">
        <v>4118</v>
      </c>
      <c r="M137" s="384"/>
    </row>
    <row r="138" spans="1:13" ht="16.5" customHeight="1" x14ac:dyDescent="0.2">
      <c r="A138" s="194"/>
      <c r="B138" s="1911" t="s">
        <v>1607</v>
      </c>
      <c r="C138" s="2329" t="str">
        <f>Бюд.р.!A335</f>
        <v>Иные бюджетные ассигнования</v>
      </c>
      <c r="D138" s="2064" t="s">
        <v>696</v>
      </c>
      <c r="E138" s="1311" t="s">
        <v>450</v>
      </c>
      <c r="F138" s="1311" t="str">
        <f>Бюд.р.!D332</f>
        <v>600 01 01</v>
      </c>
      <c r="G138" s="1311">
        <f>Бюд.р.!F335</f>
        <v>800</v>
      </c>
      <c r="H138" s="1682"/>
      <c r="I138" s="1427">
        <f>Бюд.р.!H335</f>
        <v>542.4</v>
      </c>
      <c r="J138" s="360"/>
      <c r="K138" s="189"/>
      <c r="L138" s="189"/>
      <c r="M138" s="384"/>
    </row>
    <row r="139" spans="1:13" ht="24" customHeight="1" x14ac:dyDescent="0.2">
      <c r="A139" s="208"/>
      <c r="B139" s="1910" t="s">
        <v>1275</v>
      </c>
      <c r="C139" s="1772" t="s">
        <v>1165</v>
      </c>
      <c r="D139" s="2296" t="s">
        <v>696</v>
      </c>
      <c r="E139" s="1307" t="s">
        <v>450</v>
      </c>
      <c r="F139" s="1307" t="s">
        <v>454</v>
      </c>
      <c r="G139" s="1307"/>
      <c r="H139" s="2353"/>
      <c r="I139" s="1429">
        <f>I140</f>
        <v>468.53700000000003</v>
      </c>
      <c r="J139" s="359">
        <f>J140</f>
        <v>0</v>
      </c>
      <c r="K139" s="186">
        <f>K140</f>
        <v>0</v>
      </c>
      <c r="L139" s="186">
        <f>L140</f>
        <v>0</v>
      </c>
      <c r="M139" s="383">
        <f>M140</f>
        <v>0</v>
      </c>
    </row>
    <row r="140" spans="1:13" ht="22.5" customHeight="1" x14ac:dyDescent="0.2">
      <c r="A140" s="208"/>
      <c r="B140" s="1911" t="s">
        <v>1276</v>
      </c>
      <c r="C140" s="2329" t="str">
        <f>Бюд.р.!A340</f>
        <v>Закупка товаров, работ и услуг  для государственных (муниципальных) нужд</v>
      </c>
      <c r="D140" s="2064" t="s">
        <v>696</v>
      </c>
      <c r="E140" s="1311" t="s">
        <v>450</v>
      </c>
      <c r="F140" s="1311" t="str">
        <f>Бюд.р.!D341</f>
        <v>600 01 02</v>
      </c>
      <c r="G140" s="1311">
        <f>Бюд.р.!F340</f>
        <v>200</v>
      </c>
      <c r="H140" s="2355"/>
      <c r="I140" s="1427">
        <f>Бюд.р.!H341</f>
        <v>468.53700000000003</v>
      </c>
      <c r="J140" s="360">
        <v>0</v>
      </c>
      <c r="K140" s="189">
        <v>0</v>
      </c>
      <c r="L140" s="189">
        <v>0</v>
      </c>
      <c r="M140" s="384">
        <v>0</v>
      </c>
    </row>
    <row r="141" spans="1:13" ht="12.75" customHeight="1" x14ac:dyDescent="0.2">
      <c r="A141" s="193" t="s">
        <v>496</v>
      </c>
      <c r="B141" s="1910" t="s">
        <v>1277</v>
      </c>
      <c r="C141" s="2322" t="s">
        <v>37</v>
      </c>
      <c r="D141" s="2296" t="s">
        <v>696</v>
      </c>
      <c r="E141" s="1307" t="s">
        <v>450</v>
      </c>
      <c r="F141" s="1307" t="s">
        <v>455</v>
      </c>
      <c r="G141" s="1307"/>
      <c r="H141" s="1881"/>
      <c r="I141" s="1429">
        <f>SUM(I142:I143)</f>
        <v>2324.3319999999999</v>
      </c>
      <c r="J141" s="359">
        <f>SUM(J142:J143)</f>
        <v>0</v>
      </c>
      <c r="K141" s="186">
        <f>SUM(K142:K143)</f>
        <v>1150.8000000000002</v>
      </c>
      <c r="L141" s="186">
        <f>SUM(L142:L143)</f>
        <v>2721.9</v>
      </c>
      <c r="M141" s="383">
        <f>SUM(M142:M143)</f>
        <v>0</v>
      </c>
    </row>
    <row r="142" spans="1:13" ht="22.5" customHeight="1" x14ac:dyDescent="0.2">
      <c r="A142" s="193"/>
      <c r="B142" s="1911" t="s">
        <v>1278</v>
      </c>
      <c r="C142" s="2329" t="str">
        <f>Бюд.р.!A345</f>
        <v>Закупка товаров, работ и услуг  для государственных (муниципальных) нужд</v>
      </c>
      <c r="D142" s="2064" t="s">
        <v>696</v>
      </c>
      <c r="E142" s="1311" t="s">
        <v>450</v>
      </c>
      <c r="F142" s="1311" t="str">
        <f>Бюд.р.!D346</f>
        <v>600 01 03</v>
      </c>
      <c r="G142" s="1311">
        <f>Бюд.р.!F345</f>
        <v>200</v>
      </c>
      <c r="H142" s="1881"/>
      <c r="I142" s="1427">
        <f>Бюд.р.!H346</f>
        <v>2324.3319999999999</v>
      </c>
      <c r="J142" s="360">
        <v>0</v>
      </c>
      <c r="K142" s="189">
        <v>1096.9000000000001</v>
      </c>
      <c r="L142" s="189">
        <v>2596.1</v>
      </c>
      <c r="M142" s="384">
        <v>0</v>
      </c>
    </row>
    <row r="143" spans="1:13" ht="33.75" hidden="1" customHeight="1" x14ac:dyDescent="0.2">
      <c r="A143" s="193"/>
      <c r="B143" s="1911" t="s">
        <v>89</v>
      </c>
      <c r="C143" s="2318" t="s">
        <v>886</v>
      </c>
      <c r="D143" s="2064" t="s">
        <v>696</v>
      </c>
      <c r="E143" s="1311" t="s">
        <v>450</v>
      </c>
      <c r="F143" s="1311" t="s">
        <v>455</v>
      </c>
      <c r="G143" s="1311" t="s">
        <v>516</v>
      </c>
      <c r="H143" s="1881"/>
      <c r="I143" s="1427">
        <f>Бюд.р.!H350</f>
        <v>0</v>
      </c>
      <c r="J143" s="360">
        <v>0</v>
      </c>
      <c r="K143" s="189">
        <v>53.9</v>
      </c>
      <c r="L143" s="189">
        <v>125.8</v>
      </c>
      <c r="M143" s="384">
        <v>0</v>
      </c>
    </row>
    <row r="144" spans="1:13" ht="45.75" customHeight="1" x14ac:dyDescent="0.2">
      <c r="A144" s="193"/>
      <c r="B144" s="1910" t="s">
        <v>1279</v>
      </c>
      <c r="C144" s="2322" t="s">
        <v>1038</v>
      </c>
      <c r="D144" s="2296" t="s">
        <v>696</v>
      </c>
      <c r="E144" s="1307" t="s">
        <v>450</v>
      </c>
      <c r="F144" s="1307" t="s">
        <v>457</v>
      </c>
      <c r="G144" s="1307"/>
      <c r="H144" s="1881"/>
      <c r="I144" s="1429">
        <f>I145</f>
        <v>1852.972</v>
      </c>
      <c r="J144" s="359">
        <f>J145</f>
        <v>0</v>
      </c>
      <c r="K144" s="186">
        <f>K145</f>
        <v>0</v>
      </c>
      <c r="L144" s="186">
        <f>L145</f>
        <v>300</v>
      </c>
      <c r="M144" s="383">
        <f>M145</f>
        <v>0</v>
      </c>
    </row>
    <row r="145" spans="1:13" ht="26.25" customHeight="1" x14ac:dyDescent="0.2">
      <c r="A145" s="193"/>
      <c r="B145" s="1911" t="s">
        <v>1280</v>
      </c>
      <c r="C145" s="2329" t="str">
        <f>Бюд.р.!A356</f>
        <v>Закупка товаров, работ и услуг  для государственных (муниципальных) нужд</v>
      </c>
      <c r="D145" s="2064" t="s">
        <v>696</v>
      </c>
      <c r="E145" s="1311" t="s">
        <v>450</v>
      </c>
      <c r="F145" s="1311" t="str">
        <f>Бюд.р.!D357</f>
        <v>600 01 04</v>
      </c>
      <c r="G145" s="1311">
        <f>Бюд.р.!F356</f>
        <v>200</v>
      </c>
      <c r="H145" s="1881"/>
      <c r="I145" s="1427">
        <f>Бюд.р.!H357</f>
        <v>1852.972</v>
      </c>
      <c r="J145" s="360">
        <v>0</v>
      </c>
      <c r="K145" s="189">
        <v>0</v>
      </c>
      <c r="L145" s="189">
        <v>300</v>
      </c>
      <c r="M145" s="384">
        <v>0</v>
      </c>
    </row>
    <row r="146" spans="1:13" ht="21.75" hidden="1" customHeight="1" x14ac:dyDescent="0.2">
      <c r="A146" s="193"/>
      <c r="B146" s="2273" t="s">
        <v>160</v>
      </c>
      <c r="C146" s="2322" t="s">
        <v>459</v>
      </c>
      <c r="D146" s="2296" t="s">
        <v>696</v>
      </c>
      <c r="E146" s="1307" t="s">
        <v>450</v>
      </c>
      <c r="F146" s="1307" t="s">
        <v>460</v>
      </c>
      <c r="G146" s="1307"/>
      <c r="H146" s="1881"/>
      <c r="I146" s="1429">
        <f>I147</f>
        <v>0</v>
      </c>
      <c r="J146" s="359">
        <f>J147</f>
        <v>0</v>
      </c>
      <c r="K146" s="186">
        <f>K147</f>
        <v>1327.6</v>
      </c>
      <c r="L146" s="186">
        <f>L147</f>
        <v>2425.04</v>
      </c>
      <c r="M146" s="383">
        <f>M147</f>
        <v>0</v>
      </c>
    </row>
    <row r="147" spans="1:13" ht="14.25" hidden="1" customHeight="1" x14ac:dyDescent="0.2">
      <c r="A147" s="193"/>
      <c r="B147" s="1911" t="s">
        <v>165</v>
      </c>
      <c r="C147" s="2318" t="s">
        <v>469</v>
      </c>
      <c r="D147" s="2064" t="s">
        <v>696</v>
      </c>
      <c r="E147" s="1311" t="s">
        <v>450</v>
      </c>
      <c r="F147" s="1311" t="s">
        <v>460</v>
      </c>
      <c r="G147" s="1311" t="s">
        <v>920</v>
      </c>
      <c r="H147" s="1881"/>
      <c r="I147" s="1427"/>
      <c r="J147" s="360">
        <v>0</v>
      </c>
      <c r="K147" s="189">
        <v>1327.6</v>
      </c>
      <c r="L147" s="189">
        <v>2425.04</v>
      </c>
      <c r="M147" s="384">
        <v>0</v>
      </c>
    </row>
    <row r="148" spans="1:13" ht="24" hidden="1" x14ac:dyDescent="0.2">
      <c r="A148" s="207" t="s">
        <v>785</v>
      </c>
      <c r="B148" s="2273"/>
      <c r="C148" s="2322" t="s">
        <v>294</v>
      </c>
      <c r="D148" s="2309"/>
      <c r="E148" s="1314" t="s">
        <v>303</v>
      </c>
      <c r="F148" s="1314" t="s">
        <v>44</v>
      </c>
      <c r="G148" s="1314" t="s">
        <v>302</v>
      </c>
      <c r="H148" s="2353" t="s">
        <v>295</v>
      </c>
      <c r="I148" s="1428"/>
      <c r="J148" s="361"/>
      <c r="K148" s="237"/>
      <c r="L148" s="237"/>
      <c r="M148" s="350"/>
    </row>
    <row r="149" spans="1:13" hidden="1" x14ac:dyDescent="0.2">
      <c r="A149" s="209" t="s">
        <v>783</v>
      </c>
      <c r="B149" s="1920"/>
      <c r="C149" s="2324" t="s">
        <v>278</v>
      </c>
      <c r="D149" s="2298"/>
      <c r="E149" s="1322" t="s">
        <v>303</v>
      </c>
      <c r="F149" s="1322" t="s">
        <v>44</v>
      </c>
      <c r="G149" s="1322" t="s">
        <v>302</v>
      </c>
      <c r="H149" s="2355" t="s">
        <v>318</v>
      </c>
      <c r="I149" s="1428"/>
      <c r="J149" s="361"/>
      <c r="K149" s="237"/>
      <c r="L149" s="237"/>
      <c r="M149" s="350"/>
    </row>
    <row r="150" spans="1:13" ht="109.5" hidden="1" customHeight="1" x14ac:dyDescent="0.2">
      <c r="A150" s="193" t="s">
        <v>786</v>
      </c>
      <c r="B150" s="2274"/>
      <c r="C150" s="2340" t="s">
        <v>863</v>
      </c>
      <c r="D150" s="2296"/>
      <c r="E150" s="1307" t="s">
        <v>303</v>
      </c>
      <c r="F150" s="1307" t="s">
        <v>854</v>
      </c>
      <c r="G150" s="1307"/>
      <c r="H150" s="1881"/>
      <c r="I150" s="1428"/>
      <c r="J150" s="361"/>
      <c r="K150" s="237"/>
      <c r="L150" s="237"/>
      <c r="M150" s="350"/>
    </row>
    <row r="151" spans="1:13" ht="22.5" hidden="1" customHeight="1" x14ac:dyDescent="0.2">
      <c r="A151" s="194" t="s">
        <v>787</v>
      </c>
      <c r="B151" s="2274"/>
      <c r="C151" s="1772" t="s">
        <v>1011</v>
      </c>
      <c r="D151" s="2307"/>
      <c r="E151" s="1345" t="s">
        <v>303</v>
      </c>
      <c r="F151" s="1345" t="s">
        <v>854</v>
      </c>
      <c r="G151" s="1345" t="s">
        <v>302</v>
      </c>
      <c r="H151" s="1681"/>
      <c r="I151" s="1428"/>
      <c r="J151" s="361"/>
      <c r="K151" s="237"/>
      <c r="L151" s="237"/>
      <c r="M151" s="350"/>
    </row>
    <row r="152" spans="1:13" ht="12.75" hidden="1" customHeight="1" x14ac:dyDescent="0.2">
      <c r="A152" s="207" t="s">
        <v>788</v>
      </c>
      <c r="B152" s="2273"/>
      <c r="C152" s="2322" t="s">
        <v>294</v>
      </c>
      <c r="D152" s="2309"/>
      <c r="E152" s="1314" t="s">
        <v>303</v>
      </c>
      <c r="F152" s="1314" t="s">
        <v>853</v>
      </c>
      <c r="G152" s="1314" t="s">
        <v>302</v>
      </c>
      <c r="H152" s="2353" t="s">
        <v>295</v>
      </c>
      <c r="I152" s="1428"/>
      <c r="J152" s="361"/>
      <c r="K152" s="237"/>
      <c r="L152" s="237"/>
      <c r="M152" s="350"/>
    </row>
    <row r="153" spans="1:13" ht="12.75" hidden="1" customHeight="1" x14ac:dyDescent="0.2">
      <c r="A153" s="209" t="s">
        <v>783</v>
      </c>
      <c r="B153" s="1920"/>
      <c r="C153" s="2324" t="s">
        <v>278</v>
      </c>
      <c r="D153" s="2298"/>
      <c r="E153" s="1322" t="s">
        <v>303</v>
      </c>
      <c r="F153" s="1322" t="s">
        <v>853</v>
      </c>
      <c r="G153" s="1322" t="s">
        <v>302</v>
      </c>
      <c r="H153" s="2355" t="s">
        <v>318</v>
      </c>
      <c r="I153" s="1428"/>
      <c r="J153" s="361"/>
      <c r="K153" s="237"/>
      <c r="L153" s="237"/>
      <c r="M153" s="350"/>
    </row>
    <row r="154" spans="1:13" ht="24.75" customHeight="1" x14ac:dyDescent="0.2">
      <c r="A154" s="209"/>
      <c r="B154" s="2464" t="s">
        <v>1281</v>
      </c>
      <c r="C154" s="2459" t="s">
        <v>1153</v>
      </c>
      <c r="D154" s="2465" t="s">
        <v>696</v>
      </c>
      <c r="E154" s="2466" t="s">
        <v>450</v>
      </c>
      <c r="F154" s="2466" t="s">
        <v>461</v>
      </c>
      <c r="G154" s="2145"/>
      <c r="H154" s="2211"/>
      <c r="I154" s="2467">
        <f>I155+I157+I159</f>
        <v>198.17000000000002</v>
      </c>
      <c r="J154" s="153">
        <f>J155+J157+J159</f>
        <v>0</v>
      </c>
      <c r="K154" s="151">
        <f>K155+K157+K159</f>
        <v>2087.1</v>
      </c>
      <c r="L154" s="151">
        <f>L155+L157+L159</f>
        <v>2263.6</v>
      </c>
      <c r="M154" s="351">
        <f>M155+M157+M159</f>
        <v>0</v>
      </c>
    </row>
    <row r="155" spans="1:13" ht="22.5" hidden="1" customHeight="1" x14ac:dyDescent="0.2">
      <c r="A155" s="193" t="s">
        <v>786</v>
      </c>
      <c r="B155" s="1910" t="s">
        <v>1282</v>
      </c>
      <c r="C155" s="2322" t="s">
        <v>517</v>
      </c>
      <c r="D155" s="2296" t="s">
        <v>696</v>
      </c>
      <c r="E155" s="1307" t="s">
        <v>450</v>
      </c>
      <c r="F155" s="1307" t="s">
        <v>518</v>
      </c>
      <c r="G155" s="1307"/>
      <c r="H155" s="1881"/>
      <c r="I155" s="1429">
        <f>I156</f>
        <v>0</v>
      </c>
      <c r="J155" s="359">
        <f>J156</f>
        <v>0</v>
      </c>
      <c r="K155" s="186">
        <f>K156</f>
        <v>1087.0999999999999</v>
      </c>
      <c r="L155" s="186">
        <f>L156</f>
        <v>1666</v>
      </c>
      <c r="M155" s="383">
        <f>M156</f>
        <v>0</v>
      </c>
    </row>
    <row r="156" spans="1:13" ht="14.25" hidden="1" customHeight="1" x14ac:dyDescent="0.2">
      <c r="A156" s="52" t="s">
        <v>787</v>
      </c>
      <c r="B156" s="1920" t="s">
        <v>1283</v>
      </c>
      <c r="C156" s="2329" t="str">
        <f>Бюд.р.!A366</f>
        <v>Прочая закупка товаров, работ и услуг для муниципальных нужд</v>
      </c>
      <c r="D156" s="2064" t="s">
        <v>696</v>
      </c>
      <c r="E156" s="1311" t="s">
        <v>450</v>
      </c>
      <c r="F156" s="1311" t="str">
        <f>Бюд.р.!D366</f>
        <v>600 02 01</v>
      </c>
      <c r="G156" s="1311">
        <f>Бюд.р.!F366</f>
        <v>244</v>
      </c>
      <c r="H156" s="1682"/>
      <c r="I156" s="1427">
        <f>Бюд.р.!H366</f>
        <v>0</v>
      </c>
      <c r="J156" s="360">
        <v>0</v>
      </c>
      <c r="K156" s="189">
        <v>1087.0999999999999</v>
      </c>
      <c r="L156" s="189">
        <v>1666</v>
      </c>
      <c r="M156" s="384">
        <v>0</v>
      </c>
    </row>
    <row r="157" spans="1:13" ht="22.5" hidden="1" x14ac:dyDescent="0.2">
      <c r="A157" s="193" t="s">
        <v>789</v>
      </c>
      <c r="B157" s="1910" t="s">
        <v>1284</v>
      </c>
      <c r="C157" s="1772" t="s">
        <v>519</v>
      </c>
      <c r="D157" s="2296" t="s">
        <v>696</v>
      </c>
      <c r="E157" s="1307" t="s">
        <v>450</v>
      </c>
      <c r="F157" s="1307" t="s">
        <v>430</v>
      </c>
      <c r="G157" s="1307"/>
      <c r="H157" s="1881"/>
      <c r="I157" s="1429">
        <f>I158</f>
        <v>0</v>
      </c>
      <c r="J157" s="359">
        <f>J158</f>
        <v>0</v>
      </c>
      <c r="K157" s="186">
        <f>K158</f>
        <v>500</v>
      </c>
      <c r="L157" s="186">
        <f>L158</f>
        <v>300</v>
      </c>
      <c r="M157" s="383">
        <f>M158</f>
        <v>0</v>
      </c>
    </row>
    <row r="158" spans="1:13" ht="14.25" hidden="1" customHeight="1" x14ac:dyDescent="0.2">
      <c r="A158" s="52" t="s">
        <v>790</v>
      </c>
      <c r="B158" s="1920" t="s">
        <v>1285</v>
      </c>
      <c r="C158" s="2329" t="str">
        <f>Бюд.р.!A372</f>
        <v>Прочая закупка товаров, работ и услуг для муниципальных нужд</v>
      </c>
      <c r="D158" s="2064" t="s">
        <v>696</v>
      </c>
      <c r="E158" s="1311" t="s">
        <v>450</v>
      </c>
      <c r="F158" s="1311" t="s">
        <v>430</v>
      </c>
      <c r="G158" s="1311">
        <f>Бюд.р.!F372</f>
        <v>244</v>
      </c>
      <c r="H158" s="1682"/>
      <c r="I158" s="1427">
        <f>Бюд.р.!H372</f>
        <v>0</v>
      </c>
      <c r="J158" s="360">
        <v>0</v>
      </c>
      <c r="K158" s="189">
        <v>500</v>
      </c>
      <c r="L158" s="189">
        <v>300</v>
      </c>
      <c r="M158" s="384">
        <v>0</v>
      </c>
    </row>
    <row r="159" spans="1:13" ht="22.5" x14ac:dyDescent="0.2">
      <c r="A159" s="342"/>
      <c r="B159" s="1921" t="s">
        <v>1282</v>
      </c>
      <c r="C159" s="2966" t="s">
        <v>429</v>
      </c>
      <c r="D159" s="2296" t="s">
        <v>696</v>
      </c>
      <c r="E159" s="1307" t="s">
        <v>450</v>
      </c>
      <c r="F159" s="1307" t="s">
        <v>1154</v>
      </c>
      <c r="G159" s="1307"/>
      <c r="H159" s="2353"/>
      <c r="I159" s="1429">
        <f>I160</f>
        <v>198.17000000000002</v>
      </c>
      <c r="J159" s="359">
        <f>J160</f>
        <v>0</v>
      </c>
      <c r="K159" s="186">
        <f>K160</f>
        <v>500</v>
      </c>
      <c r="L159" s="186">
        <f>L160</f>
        <v>297.60000000000002</v>
      </c>
      <c r="M159" s="383">
        <f>M160</f>
        <v>0</v>
      </c>
    </row>
    <row r="160" spans="1:13" ht="28.5" customHeight="1" x14ac:dyDescent="0.2">
      <c r="A160" s="342"/>
      <c r="B160" s="1922" t="s">
        <v>1283</v>
      </c>
      <c r="C160" s="2329" t="str">
        <f>Бюд.р.!A376</f>
        <v>Закупка товаров, работ и услуг  для государственных (муниципальных) нужд</v>
      </c>
      <c r="D160" s="2064" t="s">
        <v>696</v>
      </c>
      <c r="E160" s="1311" t="s">
        <v>450</v>
      </c>
      <c r="F160" s="1311" t="str">
        <f>Бюд.р.!D377</f>
        <v>600 02 04</v>
      </c>
      <c r="G160" s="1311">
        <f>Бюд.р.!F376</f>
        <v>200</v>
      </c>
      <c r="H160" s="2355"/>
      <c r="I160" s="1427">
        <f>Бюд.р.!H377</f>
        <v>198.17000000000002</v>
      </c>
      <c r="J160" s="360">
        <v>0</v>
      </c>
      <c r="K160" s="189">
        <v>500</v>
      </c>
      <c r="L160" s="189">
        <v>297.60000000000002</v>
      </c>
      <c r="M160" s="384">
        <v>0</v>
      </c>
    </row>
    <row r="161" spans="1:13" ht="12.75" customHeight="1" x14ac:dyDescent="0.2">
      <c r="A161" s="342"/>
      <c r="B161" s="2464" t="s">
        <v>1286</v>
      </c>
      <c r="C161" s="2468" t="s">
        <v>793</v>
      </c>
      <c r="D161" s="2460" t="s">
        <v>696</v>
      </c>
      <c r="E161" s="2461" t="s">
        <v>450</v>
      </c>
      <c r="F161" s="2461" t="s">
        <v>794</v>
      </c>
      <c r="G161" s="2128"/>
      <c r="H161" s="2211"/>
      <c r="I161" s="2463">
        <f>I162+I165+I169+I167</f>
        <v>7891.9740000000011</v>
      </c>
      <c r="J161" s="153">
        <f>J162+J165</f>
        <v>0</v>
      </c>
      <c r="K161" s="151">
        <f>K162+K165</f>
        <v>4320.8</v>
      </c>
      <c r="L161" s="151">
        <f>L162+L165</f>
        <v>8025.1</v>
      </c>
      <c r="M161" s="351">
        <f>M162+M165</f>
        <v>0</v>
      </c>
    </row>
    <row r="162" spans="1:13" ht="21.75" customHeight="1" x14ac:dyDescent="0.2">
      <c r="A162" s="342"/>
      <c r="B162" s="1921" t="s">
        <v>1287</v>
      </c>
      <c r="C162" s="2326" t="s">
        <v>1155</v>
      </c>
      <c r="D162" s="2296" t="s">
        <v>696</v>
      </c>
      <c r="E162" s="1307" t="s">
        <v>450</v>
      </c>
      <c r="F162" s="1307" t="s">
        <v>791</v>
      </c>
      <c r="G162" s="1307"/>
      <c r="H162" s="2353"/>
      <c r="I162" s="1429">
        <f>SUM(I163:I164)</f>
        <v>7445.0240000000013</v>
      </c>
      <c r="J162" s="359">
        <f>SUM(J163:J164)</f>
        <v>0</v>
      </c>
      <c r="K162" s="186">
        <f>SUM(K163:K164)</f>
        <v>3963.7</v>
      </c>
      <c r="L162" s="186">
        <f>SUM(L163:L164)</f>
        <v>7464.6</v>
      </c>
      <c r="M162" s="383">
        <f>SUM(M163:M164)</f>
        <v>0</v>
      </c>
    </row>
    <row r="163" spans="1:13" ht="25.5" customHeight="1" thickBot="1" x14ac:dyDescent="0.25">
      <c r="A163" s="342"/>
      <c r="B163" s="1922" t="s">
        <v>1288</v>
      </c>
      <c r="C163" s="2329" t="str">
        <f>Бюд.р.!A385</f>
        <v>Закупка товаров, работ и услуг  для государственных (муниципальных) нужд</v>
      </c>
      <c r="D163" s="2064" t="s">
        <v>696</v>
      </c>
      <c r="E163" s="1311" t="s">
        <v>450</v>
      </c>
      <c r="F163" s="1311" t="str">
        <f>Бюд.р.!D386</f>
        <v>600 03 01</v>
      </c>
      <c r="G163" s="1311">
        <f>Бюд.р.!F385</f>
        <v>200</v>
      </c>
      <c r="H163" s="2355"/>
      <c r="I163" s="1427">
        <f>Бюд.р.!H386</f>
        <v>7445.0240000000013</v>
      </c>
      <c r="J163" s="360">
        <v>0</v>
      </c>
      <c r="K163" s="189">
        <v>2852.2</v>
      </c>
      <c r="L163" s="189">
        <v>4871.1000000000004</v>
      </c>
      <c r="M163" s="384">
        <v>0</v>
      </c>
    </row>
    <row r="164" spans="1:13" ht="36" hidden="1" customHeight="1" thickBot="1" x14ac:dyDescent="0.25">
      <c r="A164" s="342"/>
      <c r="B164" s="1922" t="s">
        <v>90</v>
      </c>
      <c r="C164" s="2318" t="s">
        <v>886</v>
      </c>
      <c r="D164" s="2064" t="s">
        <v>696</v>
      </c>
      <c r="E164" s="1311" t="s">
        <v>450</v>
      </c>
      <c r="F164" s="1311" t="s">
        <v>791</v>
      </c>
      <c r="G164" s="1311" t="s">
        <v>516</v>
      </c>
      <c r="H164" s="2355"/>
      <c r="I164" s="1427">
        <f>Бюд.р.!H389</f>
        <v>0</v>
      </c>
      <c r="J164" s="360">
        <v>0</v>
      </c>
      <c r="K164" s="189">
        <v>1111.5</v>
      </c>
      <c r="L164" s="189">
        <v>2593.5</v>
      </c>
      <c r="M164" s="384">
        <v>0</v>
      </c>
    </row>
    <row r="165" spans="1:13" ht="14.25" customHeight="1" x14ac:dyDescent="0.2">
      <c r="A165" s="211" t="s">
        <v>736</v>
      </c>
      <c r="B165" s="1910" t="s">
        <v>1289</v>
      </c>
      <c r="C165" s="2326" t="s">
        <v>1156</v>
      </c>
      <c r="D165" s="2296" t="s">
        <v>696</v>
      </c>
      <c r="E165" s="1307" t="s">
        <v>450</v>
      </c>
      <c r="F165" s="1307" t="s">
        <v>795</v>
      </c>
      <c r="G165" s="1307"/>
      <c r="H165" s="1881"/>
      <c r="I165" s="1429">
        <f>I166</f>
        <v>296.95</v>
      </c>
      <c r="J165" s="359">
        <f>J166</f>
        <v>0</v>
      </c>
      <c r="K165" s="186">
        <f>K166</f>
        <v>357.1</v>
      </c>
      <c r="L165" s="186">
        <f>L166</f>
        <v>560.5</v>
      </c>
      <c r="M165" s="383">
        <f>M166</f>
        <v>0</v>
      </c>
    </row>
    <row r="166" spans="1:13" ht="26.25" customHeight="1" x14ac:dyDescent="0.2">
      <c r="A166" s="52" t="s">
        <v>737</v>
      </c>
      <c r="B166" s="1920" t="s">
        <v>1290</v>
      </c>
      <c r="C166" s="2329" t="str">
        <f>Бюд.р.!A395</f>
        <v>Закупка товаров, работ и услуг  для государственных (муниципальных) нужд</v>
      </c>
      <c r="D166" s="2064" t="s">
        <v>696</v>
      </c>
      <c r="E166" s="1311" t="s">
        <v>450</v>
      </c>
      <c r="F166" s="1311" t="str">
        <f>Бюд.р.!D396</f>
        <v>600 03 02</v>
      </c>
      <c r="G166" s="1311">
        <f>Бюд.р.!F395</f>
        <v>200</v>
      </c>
      <c r="H166" s="1682"/>
      <c r="I166" s="1427">
        <f>Бюд.р.!H396</f>
        <v>296.95</v>
      </c>
      <c r="J166" s="360">
        <v>0</v>
      </c>
      <c r="K166" s="189">
        <v>357.1</v>
      </c>
      <c r="L166" s="189">
        <v>560.5</v>
      </c>
      <c r="M166" s="384">
        <v>0</v>
      </c>
    </row>
    <row r="167" spans="1:13" ht="33.75" hidden="1" customHeight="1" x14ac:dyDescent="0.2">
      <c r="A167" s="1297"/>
      <c r="B167" s="1921" t="s">
        <v>1291</v>
      </c>
      <c r="C167" s="2326" t="s">
        <v>1175</v>
      </c>
      <c r="D167" s="2308">
        <v>968</v>
      </c>
      <c r="E167" s="2481" t="s">
        <v>450</v>
      </c>
      <c r="F167" s="1348" t="str">
        <f>F168</f>
        <v>600 03 04</v>
      </c>
      <c r="G167" s="1311"/>
      <c r="H167" s="1682"/>
      <c r="I167" s="1427">
        <f>I168</f>
        <v>0</v>
      </c>
      <c r="J167" s="360"/>
      <c r="K167" s="189"/>
      <c r="L167" s="189"/>
      <c r="M167" s="384"/>
    </row>
    <row r="168" spans="1:13" ht="16.5" hidden="1" customHeight="1" x14ac:dyDescent="0.2">
      <c r="A168" s="1297"/>
      <c r="B168" s="1920" t="s">
        <v>1292</v>
      </c>
      <c r="C168" s="2329" t="str">
        <f>Бюд.р.!A403</f>
        <v>Прочая закупка товаров, работ и услуг для муниципальных нужд</v>
      </c>
      <c r="D168" s="2064" t="s">
        <v>696</v>
      </c>
      <c r="E168" s="2255" t="s">
        <v>450</v>
      </c>
      <c r="F168" s="1311" t="str">
        <f>Бюд.р.!D403</f>
        <v>600 03 04</v>
      </c>
      <c r="G168" s="1311">
        <f>Бюд.р.!F403</f>
        <v>244</v>
      </c>
      <c r="H168" s="2368"/>
      <c r="I168" s="1427">
        <f>Бюд.р.!H405</f>
        <v>0</v>
      </c>
      <c r="J168" s="360"/>
      <c r="K168" s="189"/>
      <c r="L168" s="189"/>
      <c r="M168" s="384"/>
    </row>
    <row r="169" spans="1:13" ht="22.5" x14ac:dyDescent="0.2">
      <c r="A169" s="212"/>
      <c r="B169" s="1921" t="s">
        <v>1291</v>
      </c>
      <c r="C169" s="2326" t="s">
        <v>1158</v>
      </c>
      <c r="D169" s="2308">
        <v>968</v>
      </c>
      <c r="E169" s="2481" t="s">
        <v>450</v>
      </c>
      <c r="F169" s="1348" t="str">
        <f>F170</f>
        <v>600 03 05</v>
      </c>
      <c r="G169" s="1379"/>
      <c r="H169" s="2368"/>
      <c r="I169" s="1429">
        <f>I170</f>
        <v>150</v>
      </c>
      <c r="J169" s="361"/>
      <c r="K169" s="237"/>
      <c r="L169" s="237"/>
      <c r="M169" s="350"/>
    </row>
    <row r="170" spans="1:13" ht="24" customHeight="1" x14ac:dyDescent="0.2">
      <c r="A170" s="212"/>
      <c r="B170" s="1920" t="s">
        <v>1292</v>
      </c>
      <c r="C170" s="2329" t="str">
        <f>Бюд.р.!A407</f>
        <v>Закупка товаров, работ и услуг  для государственных (муниципальных) нужд</v>
      </c>
      <c r="D170" s="2064" t="s">
        <v>696</v>
      </c>
      <c r="E170" s="1311" t="s">
        <v>450</v>
      </c>
      <c r="F170" s="1311" t="str">
        <f>Бюд.р.!D408</f>
        <v>600 03 05</v>
      </c>
      <c r="G170" s="1311">
        <f>Бюд.р.!F407</f>
        <v>200</v>
      </c>
      <c r="H170" s="2368"/>
      <c r="I170" s="1427">
        <f>Бюд.р.!H408</f>
        <v>150</v>
      </c>
      <c r="J170" s="361"/>
      <c r="K170" s="237"/>
      <c r="L170" s="237"/>
      <c r="M170" s="350"/>
    </row>
    <row r="171" spans="1:13" ht="12.75" customHeight="1" x14ac:dyDescent="0.2">
      <c r="A171" s="212"/>
      <c r="B171" s="2464" t="s">
        <v>1293</v>
      </c>
      <c r="C171" s="2468" t="s">
        <v>1159</v>
      </c>
      <c r="D171" s="2460" t="s">
        <v>696</v>
      </c>
      <c r="E171" s="2461" t="s">
        <v>450</v>
      </c>
      <c r="F171" s="2461" t="s">
        <v>796</v>
      </c>
      <c r="G171" s="2469"/>
      <c r="H171" s="2470"/>
      <c r="I171" s="2463">
        <f>I172+I174+I176</f>
        <v>5277.4509999999991</v>
      </c>
      <c r="J171" s="153">
        <f>J176+J178</f>
        <v>0</v>
      </c>
      <c r="K171" s="151">
        <f>K176+K178</f>
        <v>0</v>
      </c>
      <c r="L171" s="151">
        <f>L176+L178</f>
        <v>0</v>
      </c>
      <c r="M171" s="351">
        <f>M176+M178</f>
        <v>500</v>
      </c>
    </row>
    <row r="172" spans="1:13" ht="21.75" customHeight="1" x14ac:dyDescent="0.2">
      <c r="A172" s="212"/>
      <c r="B172" s="1921" t="s">
        <v>1294</v>
      </c>
      <c r="C172" s="2326" t="s">
        <v>1160</v>
      </c>
      <c r="D172" s="2296" t="s">
        <v>696</v>
      </c>
      <c r="E172" s="1307" t="s">
        <v>450</v>
      </c>
      <c r="F172" s="1307" t="s">
        <v>797</v>
      </c>
      <c r="G172" s="1350"/>
      <c r="H172" s="1883"/>
      <c r="I172" s="1429">
        <f>I173</f>
        <v>4133.3819999999996</v>
      </c>
      <c r="J172" s="359">
        <f>J173</f>
        <v>0</v>
      </c>
      <c r="K172" s="186">
        <f>K173</f>
        <v>0</v>
      </c>
      <c r="L172" s="186">
        <f>L173</f>
        <v>0</v>
      </c>
      <c r="M172" s="383">
        <f>M173</f>
        <v>0</v>
      </c>
    </row>
    <row r="173" spans="1:13" ht="27" customHeight="1" x14ac:dyDescent="0.2">
      <c r="A173" s="212"/>
      <c r="B173" s="1920" t="s">
        <v>1295</v>
      </c>
      <c r="C173" s="2329" t="str">
        <f>Бюд.р.!A413</f>
        <v>Закупка товаров, работ и услуг  для государственных (муниципальных) нужд</v>
      </c>
      <c r="D173" s="2064" t="s">
        <v>696</v>
      </c>
      <c r="E173" s="1311" t="s">
        <v>450</v>
      </c>
      <c r="F173" s="1311" t="str">
        <f>Бюд.р.!D414</f>
        <v>600 04 01</v>
      </c>
      <c r="G173" s="1311">
        <f>Бюд.р.!F413</f>
        <v>200</v>
      </c>
      <c r="H173" s="2368"/>
      <c r="I173" s="1427">
        <f>Бюд.р.!H414</f>
        <v>4133.3819999999996</v>
      </c>
      <c r="J173" s="360">
        <v>0</v>
      </c>
      <c r="K173" s="189">
        <v>0</v>
      </c>
      <c r="L173" s="189">
        <v>0</v>
      </c>
      <c r="M173" s="384">
        <v>0</v>
      </c>
    </row>
    <row r="174" spans="1:13" ht="23.25" customHeight="1" x14ac:dyDescent="0.2">
      <c r="A174" s="212"/>
      <c r="B174" s="1921" t="s">
        <v>1296</v>
      </c>
      <c r="C174" s="2327" t="s">
        <v>1161</v>
      </c>
      <c r="D174" s="2296" t="s">
        <v>696</v>
      </c>
      <c r="E174" s="1307" t="s">
        <v>450</v>
      </c>
      <c r="F174" s="1307" t="s">
        <v>814</v>
      </c>
      <c r="G174" s="1350"/>
      <c r="H174" s="2368"/>
      <c r="I174" s="1430">
        <f>I175</f>
        <v>1144.069</v>
      </c>
      <c r="J174" s="360"/>
      <c r="K174" s="189"/>
      <c r="L174" s="189"/>
      <c r="M174" s="384"/>
    </row>
    <row r="175" spans="1:13" ht="24.75" customHeight="1" x14ac:dyDescent="0.2">
      <c r="A175" s="212"/>
      <c r="B175" s="1920" t="s">
        <v>1297</v>
      </c>
      <c r="C175" s="2329" t="str">
        <f>Бюд.р.!A421</f>
        <v>Закупка товаров, работ и услуг  для государственных (муниципальных) нужд</v>
      </c>
      <c r="D175" s="2064" t="s">
        <v>696</v>
      </c>
      <c r="E175" s="1311" t="s">
        <v>450</v>
      </c>
      <c r="F175" s="1311" t="str">
        <f>Бюд.р.!D422</f>
        <v>600 04 02</v>
      </c>
      <c r="G175" s="1311">
        <f>Бюд.р.!F421</f>
        <v>200</v>
      </c>
      <c r="H175" s="2368"/>
      <c r="I175" s="1427">
        <f>Бюд.р.!H422</f>
        <v>1144.069</v>
      </c>
      <c r="J175" s="360"/>
      <c r="K175" s="189"/>
      <c r="L175" s="189"/>
      <c r="M175" s="384"/>
    </row>
    <row r="176" spans="1:13" ht="22.5" hidden="1" customHeight="1" x14ac:dyDescent="0.2">
      <c r="A176" s="212"/>
      <c r="B176" s="1921" t="s">
        <v>1298</v>
      </c>
      <c r="C176" s="1772" t="s">
        <v>153</v>
      </c>
      <c r="D176" s="2296" t="s">
        <v>696</v>
      </c>
      <c r="E176" s="1307" t="s">
        <v>450</v>
      </c>
      <c r="F176" s="1307" t="s">
        <v>1022</v>
      </c>
      <c r="G176" s="1350"/>
      <c r="H176" s="1883"/>
      <c r="I176" s="1429">
        <f>I177</f>
        <v>0</v>
      </c>
      <c r="J176" s="359">
        <f>J177</f>
        <v>0</v>
      </c>
      <c r="K176" s="186">
        <f>K177</f>
        <v>0</v>
      </c>
      <c r="L176" s="186">
        <f>L177</f>
        <v>0</v>
      </c>
      <c r="M176" s="383">
        <f>M177</f>
        <v>500</v>
      </c>
    </row>
    <row r="177" spans="1:13" ht="12" hidden="1" customHeight="1" x14ac:dyDescent="0.2">
      <c r="A177" s="212"/>
      <c r="B177" s="1920" t="s">
        <v>1299</v>
      </c>
      <c r="C177" s="2329" t="str">
        <f>Бюд.р.!A427</f>
        <v>Прочая закупка товаров, работ и услуг для муниципальных нужд</v>
      </c>
      <c r="D177" s="2064" t="s">
        <v>696</v>
      </c>
      <c r="E177" s="1311" t="s">
        <v>450</v>
      </c>
      <c r="F177" s="1311" t="s">
        <v>1022</v>
      </c>
      <c r="G177" s="1311">
        <f>Бюд.р.!F427</f>
        <v>244</v>
      </c>
      <c r="H177" s="2368"/>
      <c r="I177" s="1427">
        <f>Бюд.р.!H427</f>
        <v>0</v>
      </c>
      <c r="J177" s="360">
        <v>0</v>
      </c>
      <c r="K177" s="189">
        <v>0</v>
      </c>
      <c r="L177" s="189">
        <v>0</v>
      </c>
      <c r="M177" s="384">
        <v>500</v>
      </c>
    </row>
    <row r="178" spans="1:13" ht="22.5" hidden="1" x14ac:dyDescent="0.2">
      <c r="A178" s="212"/>
      <c r="B178" s="2284" t="s">
        <v>168</v>
      </c>
      <c r="C178" s="2322" t="s">
        <v>815</v>
      </c>
      <c r="D178" s="2296" t="s">
        <v>696</v>
      </c>
      <c r="E178" s="1307" t="s">
        <v>450</v>
      </c>
      <c r="F178" s="1307" t="s">
        <v>816</v>
      </c>
      <c r="G178" s="1350"/>
      <c r="H178" s="1883"/>
      <c r="I178" s="1429">
        <f>I179</f>
        <v>0</v>
      </c>
      <c r="J178" s="359">
        <f>J179</f>
        <v>0</v>
      </c>
      <c r="K178" s="186">
        <f>K179</f>
        <v>0</v>
      </c>
      <c r="L178" s="186">
        <f>L179</f>
        <v>0</v>
      </c>
      <c r="M178" s="383">
        <f>M179</f>
        <v>0</v>
      </c>
    </row>
    <row r="179" spans="1:13" ht="14.25" hidden="1" customHeight="1" x14ac:dyDescent="0.2">
      <c r="A179" s="212"/>
      <c r="B179" s="1920" t="s">
        <v>169</v>
      </c>
      <c r="C179" s="2318" t="s">
        <v>469</v>
      </c>
      <c r="D179" s="2064" t="s">
        <v>696</v>
      </c>
      <c r="E179" s="1311" t="s">
        <v>450</v>
      </c>
      <c r="F179" s="1311" t="s">
        <v>816</v>
      </c>
      <c r="G179" s="1311" t="s">
        <v>920</v>
      </c>
      <c r="H179" s="2368"/>
      <c r="I179" s="1427">
        <f>Бюд.р.!H431</f>
        <v>0</v>
      </c>
      <c r="J179" s="360">
        <v>0</v>
      </c>
      <c r="K179" s="189">
        <v>0</v>
      </c>
      <c r="L179" s="189">
        <v>0</v>
      </c>
      <c r="M179" s="384">
        <v>0</v>
      </c>
    </row>
    <row r="180" spans="1:13" ht="25.5" hidden="1" customHeight="1" x14ac:dyDescent="0.2">
      <c r="A180" s="212"/>
      <c r="B180" s="2284" t="s">
        <v>1034</v>
      </c>
      <c r="C180" s="2326" t="s">
        <v>1024</v>
      </c>
      <c r="D180" s="2299">
        <v>968</v>
      </c>
      <c r="E180" s="1329">
        <v>503</v>
      </c>
      <c r="F180" s="1329" t="s">
        <v>1022</v>
      </c>
      <c r="G180" s="1329"/>
      <c r="H180" s="1883"/>
      <c r="I180" s="1429">
        <f>I181</f>
        <v>0</v>
      </c>
      <c r="J180" s="360"/>
      <c r="K180" s="189"/>
      <c r="L180" s="189"/>
      <c r="M180" s="384"/>
    </row>
    <row r="181" spans="1:13" ht="14.25" hidden="1" customHeight="1" thickBot="1" x14ac:dyDescent="0.25">
      <c r="A181" s="212"/>
      <c r="B181" s="1920" t="s">
        <v>1035</v>
      </c>
      <c r="C181" s="2329" t="s">
        <v>469</v>
      </c>
      <c r="D181" s="2301">
        <v>968</v>
      </c>
      <c r="E181" s="1333">
        <v>503</v>
      </c>
      <c r="F181" s="1333" t="s">
        <v>1022</v>
      </c>
      <c r="G181" s="1333">
        <v>500</v>
      </c>
      <c r="H181" s="2369"/>
      <c r="I181" s="1431">
        <f>Бюд.р.!H431</f>
        <v>0</v>
      </c>
      <c r="J181" s="360"/>
      <c r="K181" s="189"/>
      <c r="L181" s="189"/>
      <c r="M181" s="384"/>
    </row>
    <row r="182" spans="1:13" ht="15" hidden="1" x14ac:dyDescent="0.2">
      <c r="A182" s="212"/>
      <c r="B182" s="2285" t="s">
        <v>742</v>
      </c>
      <c r="C182" s="2320" t="s">
        <v>817</v>
      </c>
      <c r="D182" s="2294" t="s">
        <v>696</v>
      </c>
      <c r="E182" s="2254" t="s">
        <v>818</v>
      </c>
      <c r="F182" s="2264"/>
      <c r="G182" s="2264"/>
      <c r="H182" s="2370"/>
      <c r="I182" s="2381">
        <f>I183</f>
        <v>0</v>
      </c>
      <c r="J182" s="365">
        <f t="shared" ref="J182:M184" si="1">J183</f>
        <v>0</v>
      </c>
      <c r="K182" s="349">
        <f t="shared" si="1"/>
        <v>8</v>
      </c>
      <c r="L182" s="349">
        <f t="shared" si="1"/>
        <v>0</v>
      </c>
      <c r="M182" s="388">
        <f t="shared" si="1"/>
        <v>0</v>
      </c>
    </row>
    <row r="183" spans="1:13" ht="26.25" hidden="1" customHeight="1" x14ac:dyDescent="0.2">
      <c r="A183" s="212"/>
      <c r="B183" s="2286" t="s">
        <v>114</v>
      </c>
      <c r="C183" s="2321" t="s">
        <v>820</v>
      </c>
      <c r="D183" s="2295" t="s">
        <v>696</v>
      </c>
      <c r="E183" s="1304" t="s">
        <v>819</v>
      </c>
      <c r="F183" s="2261"/>
      <c r="G183" s="2261"/>
      <c r="H183" s="2365"/>
      <c r="I183" s="1425">
        <f>I184</f>
        <v>0</v>
      </c>
      <c r="J183" s="358">
        <f t="shared" si="1"/>
        <v>0</v>
      </c>
      <c r="K183" s="152">
        <f t="shared" si="1"/>
        <v>8</v>
      </c>
      <c r="L183" s="152">
        <f t="shared" si="1"/>
        <v>0</v>
      </c>
      <c r="M183" s="382">
        <f t="shared" si="1"/>
        <v>0</v>
      </c>
    </row>
    <row r="184" spans="1:13" ht="22.5" hidden="1" x14ac:dyDescent="0.2">
      <c r="A184" s="212"/>
      <c r="B184" s="2284" t="s">
        <v>115</v>
      </c>
      <c r="C184" s="2341" t="s">
        <v>821</v>
      </c>
      <c r="D184" s="2296" t="s">
        <v>696</v>
      </c>
      <c r="E184" s="1307" t="s">
        <v>819</v>
      </c>
      <c r="F184" s="1307" t="s">
        <v>822</v>
      </c>
      <c r="G184" s="1307"/>
      <c r="H184" s="1883"/>
      <c r="I184" s="1429">
        <f>I185</f>
        <v>0</v>
      </c>
      <c r="J184" s="359">
        <f t="shared" si="1"/>
        <v>0</v>
      </c>
      <c r="K184" s="186">
        <f t="shared" si="1"/>
        <v>8</v>
      </c>
      <c r="L184" s="186">
        <f t="shared" si="1"/>
        <v>0</v>
      </c>
      <c r="M184" s="383">
        <f t="shared" si="1"/>
        <v>0</v>
      </c>
    </row>
    <row r="185" spans="1:13" ht="15" hidden="1" customHeight="1" thickBot="1" x14ac:dyDescent="0.25">
      <c r="A185" s="212"/>
      <c r="B185" s="1920" t="s">
        <v>116</v>
      </c>
      <c r="C185" s="2329" t="str">
        <f>Бюд.р.!A437</f>
        <v>Прочая закупка товаров, работ и услуг для муниципальных нужд</v>
      </c>
      <c r="D185" s="2064" t="s">
        <v>696</v>
      </c>
      <c r="E185" s="1311" t="s">
        <v>819</v>
      </c>
      <c r="F185" s="1311" t="s">
        <v>822</v>
      </c>
      <c r="G185" s="1311">
        <f>Бюд.р.!F437</f>
        <v>244</v>
      </c>
      <c r="H185" s="2368"/>
      <c r="I185" s="1427">
        <f>Бюд.р.!H437</f>
        <v>0</v>
      </c>
      <c r="J185" s="360">
        <v>0</v>
      </c>
      <c r="K185" s="189">
        <v>8</v>
      </c>
      <c r="L185" s="189">
        <v>0</v>
      </c>
      <c r="M185" s="384">
        <v>0</v>
      </c>
    </row>
    <row r="186" spans="1:13" ht="15" hidden="1" x14ac:dyDescent="0.2">
      <c r="A186" s="212"/>
      <c r="B186" s="2285" t="s">
        <v>743</v>
      </c>
      <c r="C186" s="2320" t="s">
        <v>290</v>
      </c>
      <c r="D186" s="2294" t="s">
        <v>696</v>
      </c>
      <c r="E186" s="2254" t="s">
        <v>412</v>
      </c>
      <c r="F186" s="2264"/>
      <c r="G186" s="2260"/>
      <c r="H186" s="2371"/>
      <c r="I186" s="2381">
        <f>I193+I204+I187</f>
        <v>4271.1000000000004</v>
      </c>
      <c r="J186" s="365" t="e">
        <f>J193</f>
        <v>#REF!</v>
      </c>
      <c r="K186" s="349" t="e">
        <f>K193</f>
        <v>#REF!</v>
      </c>
      <c r="L186" s="349" t="e">
        <f>L193</f>
        <v>#REF!</v>
      </c>
      <c r="M186" s="388" t="e">
        <f>M193</f>
        <v>#REF!</v>
      </c>
    </row>
    <row r="187" spans="1:13" ht="24.75" customHeight="1" x14ac:dyDescent="0.2">
      <c r="A187" s="212"/>
      <c r="B187" s="2449" t="s">
        <v>114</v>
      </c>
      <c r="C187" s="2430" t="s">
        <v>1191</v>
      </c>
      <c r="D187" s="2431" t="s">
        <v>696</v>
      </c>
      <c r="E187" s="2432" t="s">
        <v>1192</v>
      </c>
      <c r="F187" s="2446"/>
      <c r="G187" s="2450"/>
      <c r="H187" s="2451"/>
      <c r="I187" s="2434">
        <f>I188</f>
        <v>255</v>
      </c>
      <c r="J187" s="365"/>
      <c r="K187" s="349"/>
      <c r="L187" s="349"/>
      <c r="M187" s="388"/>
    </row>
    <row r="188" spans="1:13" ht="56.25" x14ac:dyDescent="0.2">
      <c r="A188" s="212"/>
      <c r="B188" s="2284" t="s">
        <v>115</v>
      </c>
      <c r="C188" s="2322" t="s">
        <v>1199</v>
      </c>
      <c r="D188" s="2296" t="s">
        <v>696</v>
      </c>
      <c r="E188" s="1307" t="s">
        <v>1192</v>
      </c>
      <c r="F188" s="1307" t="str">
        <f>Бюд.р.!D443</f>
        <v>428 01 00</v>
      </c>
      <c r="G188" s="1307"/>
      <c r="H188" s="1881"/>
      <c r="I188" s="1429">
        <f>Бюд.р.!H443</f>
        <v>255</v>
      </c>
      <c r="J188" s="365"/>
      <c r="K188" s="349"/>
      <c r="L188" s="349"/>
      <c r="M188" s="388"/>
    </row>
    <row r="189" spans="1:13" ht="36.75" customHeight="1" x14ac:dyDescent="0.2">
      <c r="A189" s="212"/>
      <c r="B189" s="2905" t="s">
        <v>116</v>
      </c>
      <c r="C189" s="2322" t="s">
        <v>1202</v>
      </c>
      <c r="D189" s="2307" t="s">
        <v>696</v>
      </c>
      <c r="E189" s="1345" t="s">
        <v>1192</v>
      </c>
      <c r="F189" s="1345" t="str">
        <f>Бюд.р.!D444</f>
        <v>428 01 01</v>
      </c>
      <c r="G189" s="1345"/>
      <c r="H189" s="1681"/>
      <c r="I189" s="1433">
        <f>I190</f>
        <v>17</v>
      </c>
      <c r="J189" s="365"/>
      <c r="K189" s="349"/>
      <c r="L189" s="349"/>
      <c r="M189" s="388"/>
    </row>
    <row r="190" spans="1:13" ht="22.5" customHeight="1" x14ac:dyDescent="0.2">
      <c r="A190" s="212"/>
      <c r="B190" s="2905" t="s">
        <v>1238</v>
      </c>
      <c r="C190" s="2329" t="str">
        <f>Бюд.р.!A445</f>
        <v>Закупка товаров, работ и услуг  для государственных (муниципальных) нужд</v>
      </c>
      <c r="D190" s="2064" t="s">
        <v>696</v>
      </c>
      <c r="E190" s="1311">
        <v>705</v>
      </c>
      <c r="F190" s="1311" t="str">
        <f>Бюд.р.!D446</f>
        <v>428 01 01</v>
      </c>
      <c r="G190" s="1311">
        <f>Бюд.р.!F445</f>
        <v>200</v>
      </c>
      <c r="H190" s="1682"/>
      <c r="I190" s="1427">
        <f>Бюд.р.!H446</f>
        <v>17</v>
      </c>
      <c r="J190" s="365"/>
      <c r="K190" s="349"/>
      <c r="L190" s="349"/>
      <c r="M190" s="388"/>
    </row>
    <row r="191" spans="1:13" ht="22.5" x14ac:dyDescent="0.2">
      <c r="A191" s="212"/>
      <c r="B191" s="2905" t="s">
        <v>1239</v>
      </c>
      <c r="C191" s="2326" t="s">
        <v>1203</v>
      </c>
      <c r="D191" s="2307" t="s">
        <v>696</v>
      </c>
      <c r="E191" s="1345" t="s">
        <v>1192</v>
      </c>
      <c r="F191" s="1345" t="str">
        <f>Бюд.р.!D449</f>
        <v>428 01 02</v>
      </c>
      <c r="G191" s="1345"/>
      <c r="H191" s="1681"/>
      <c r="I191" s="1433">
        <f>I192</f>
        <v>238</v>
      </c>
      <c r="J191" s="365"/>
      <c r="K191" s="349"/>
      <c r="L191" s="349"/>
      <c r="M191" s="388"/>
    </row>
    <row r="192" spans="1:13" ht="23.25" customHeight="1" x14ac:dyDescent="0.2">
      <c r="A192" s="212"/>
      <c r="B192" s="1920" t="s">
        <v>1240</v>
      </c>
      <c r="C192" s="2329" t="str">
        <f>Бюд.р.!A450</f>
        <v>Закупка товаров, работ и услуг  для государственных (муниципальных) нужд</v>
      </c>
      <c r="D192" s="2064" t="s">
        <v>696</v>
      </c>
      <c r="E192" s="2255" t="s">
        <v>1192</v>
      </c>
      <c r="F192" s="1311" t="str">
        <f>Бюд.р.!D451</f>
        <v>428 01 02</v>
      </c>
      <c r="G192" s="1311">
        <f>Бюд.р.!F450</f>
        <v>200</v>
      </c>
      <c r="H192" s="1682"/>
      <c r="I192" s="1427">
        <f>Бюд.р.!H451</f>
        <v>238</v>
      </c>
      <c r="J192" s="365"/>
      <c r="K192" s="349"/>
      <c r="L192" s="349"/>
      <c r="M192" s="388"/>
    </row>
    <row r="193" spans="1:13" ht="15.75" customHeight="1" x14ac:dyDescent="0.2">
      <c r="A193" s="212"/>
      <c r="B193" s="2449" t="s">
        <v>5</v>
      </c>
      <c r="C193" s="2430" t="s">
        <v>411</v>
      </c>
      <c r="D193" s="2431" t="s">
        <v>696</v>
      </c>
      <c r="E193" s="2432" t="s">
        <v>413</v>
      </c>
      <c r="F193" s="2446"/>
      <c r="G193" s="2450"/>
      <c r="H193" s="2451"/>
      <c r="I193" s="2434">
        <f>I194+I196+I198+I200+I202</f>
        <v>3879.6000000000004</v>
      </c>
      <c r="J193" s="358" t="e">
        <f>#REF!+#REF!</f>
        <v>#REF!</v>
      </c>
      <c r="K193" s="152" t="e">
        <f>#REF!+#REF!</f>
        <v>#REF!</v>
      </c>
      <c r="L193" s="152" t="e">
        <f>#REF!+#REF!</f>
        <v>#REF!</v>
      </c>
      <c r="M193" s="382" t="e">
        <f>#REF!+#REF!</f>
        <v>#REF!</v>
      </c>
    </row>
    <row r="194" spans="1:13" ht="33.75" x14ac:dyDescent="0.2">
      <c r="A194" s="210" t="s">
        <v>813</v>
      </c>
      <c r="B194" s="2287" t="s">
        <v>6</v>
      </c>
      <c r="C194" s="2322" t="str">
        <f>Бюд.р.!A455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D194" s="2309">
        <v>968</v>
      </c>
      <c r="E194" s="1314">
        <f>Бюд.р.!C455</f>
        <v>707</v>
      </c>
      <c r="F194" s="1314" t="str">
        <f>Бюд.р.!D455</f>
        <v>795 01 00</v>
      </c>
      <c r="G194" s="1314"/>
      <c r="H194" s="2353"/>
      <c r="I194" s="2904">
        <f>I195</f>
        <v>877.5</v>
      </c>
      <c r="J194" s="361"/>
      <c r="K194" s="237"/>
      <c r="L194" s="237"/>
      <c r="M194" s="350"/>
    </row>
    <row r="195" spans="1:13" ht="22.5" x14ac:dyDescent="0.2">
      <c r="A195" s="214" t="s">
        <v>783</v>
      </c>
      <c r="B195" s="1920" t="s">
        <v>7</v>
      </c>
      <c r="C195" s="2342" t="str">
        <f>Бюд.р.!A456</f>
        <v>Закупка товаров, работ и услуг  для государственных (муниципальных) нужд</v>
      </c>
      <c r="D195" s="2298">
        <f>Бюд.р.!B457</f>
        <v>968</v>
      </c>
      <c r="E195" s="1377">
        <f>Бюд.р.!C457</f>
        <v>707</v>
      </c>
      <c r="F195" s="1377" t="str">
        <f>Бюд.р.!D457</f>
        <v>795 01 00</v>
      </c>
      <c r="G195" s="1377">
        <f>Бюд.р.!F456</f>
        <v>200</v>
      </c>
      <c r="H195" s="2372"/>
      <c r="I195" s="1428">
        <f>Бюд.р.!H457</f>
        <v>877.5</v>
      </c>
      <c r="J195" s="361"/>
      <c r="K195" s="237"/>
      <c r="L195" s="237"/>
      <c r="M195" s="350"/>
    </row>
    <row r="196" spans="1:13" ht="46.5" customHeight="1" x14ac:dyDescent="0.2">
      <c r="A196" s="213" t="s">
        <v>744</v>
      </c>
      <c r="B196" s="2287" t="s">
        <v>1102</v>
      </c>
      <c r="C196" s="1772" t="str">
        <f>Бюд.р.!A461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96" s="2307">
        <v>968</v>
      </c>
      <c r="E196" s="1378">
        <f>Бюд.р.!C461</f>
        <v>707</v>
      </c>
      <c r="F196" s="1378" t="str">
        <f>Бюд.р.!D461</f>
        <v>795 04 00</v>
      </c>
      <c r="G196" s="1378"/>
      <c r="H196" s="1708"/>
      <c r="I196" s="1434">
        <f>I197</f>
        <v>185</v>
      </c>
      <c r="J196" s="361"/>
      <c r="K196" s="237"/>
      <c r="L196" s="237"/>
      <c r="M196" s="350"/>
    </row>
    <row r="197" spans="1:13" ht="24.75" customHeight="1" x14ac:dyDescent="0.2">
      <c r="A197" s="52" t="s">
        <v>497</v>
      </c>
      <c r="B197" s="1920" t="s">
        <v>1103</v>
      </c>
      <c r="C197" s="2903" t="str">
        <f>Бюд.р.!A462</f>
        <v>Закупка товаров, работ и услуг  для государственных (муниципальных) нужд</v>
      </c>
      <c r="D197" s="2942">
        <v>968</v>
      </c>
      <c r="E197" s="2707">
        <v>707</v>
      </c>
      <c r="F197" s="2707" t="str">
        <f>Бюд.р.!D463</f>
        <v>795 04 00</v>
      </c>
      <c r="G197" s="2707">
        <f>Бюд.р.!F462</f>
        <v>200</v>
      </c>
      <c r="H197" s="1708"/>
      <c r="I197" s="1427">
        <f>Бюд.р.!H463</f>
        <v>185</v>
      </c>
      <c r="J197" s="361"/>
      <c r="K197" s="237"/>
      <c r="L197" s="237"/>
      <c r="M197" s="350"/>
    </row>
    <row r="198" spans="1:13" ht="48" customHeight="1" x14ac:dyDescent="0.2">
      <c r="A198" s="215" t="s">
        <v>784</v>
      </c>
      <c r="B198" s="2287" t="s">
        <v>1545</v>
      </c>
      <c r="C198" s="2322" t="str">
        <f>Бюд.р.!A483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98" s="2307">
        <f>Бюд.р.!B483</f>
        <v>968</v>
      </c>
      <c r="E198" s="1345">
        <f>Бюд.р.!C483</f>
        <v>707</v>
      </c>
      <c r="F198" s="1345" t="str">
        <f>Бюд.р.!D483</f>
        <v>795 05 00</v>
      </c>
      <c r="G198" s="1345"/>
      <c r="H198" s="1681"/>
      <c r="I198" s="1433">
        <f>I199</f>
        <v>100</v>
      </c>
      <c r="J198" s="361"/>
      <c r="K198" s="237"/>
      <c r="L198" s="237"/>
      <c r="M198" s="350"/>
    </row>
    <row r="199" spans="1:13" ht="22.5" customHeight="1" thickBot="1" x14ac:dyDescent="0.25">
      <c r="A199" s="216" t="s">
        <v>783</v>
      </c>
      <c r="B199" s="1920" t="s">
        <v>1546</v>
      </c>
      <c r="C199" s="2346" t="str">
        <f>Бюд.р.!A484</f>
        <v>Закупка товаров, работ и услуг  для государственных (муниципальных) нужд</v>
      </c>
      <c r="D199" s="2064">
        <f>Бюд.р.!B485</f>
        <v>968</v>
      </c>
      <c r="E199" s="1311">
        <f>Бюд.р.!C485</f>
        <v>707</v>
      </c>
      <c r="F199" s="1311" t="str">
        <f>Бюд.р.!D485</f>
        <v>795 05 00</v>
      </c>
      <c r="G199" s="1311">
        <f>Бюд.р.!F484</f>
        <v>200</v>
      </c>
      <c r="H199" s="1682"/>
      <c r="I199" s="1427">
        <f>Бюд.р.!H485</f>
        <v>100</v>
      </c>
      <c r="J199" s="361"/>
      <c r="K199" s="237"/>
      <c r="L199" s="237"/>
      <c r="M199" s="350"/>
    </row>
    <row r="200" spans="1:13" ht="24" customHeight="1" x14ac:dyDescent="0.2">
      <c r="A200" s="212" t="s">
        <v>123</v>
      </c>
      <c r="B200" s="1921" t="s">
        <v>1547</v>
      </c>
      <c r="C200" s="2322" t="str">
        <f>Бюд.р.!A474</f>
        <v xml:space="preserve">Ведомственная целевая программа по организации и проведению досуговых мероприятий для жителей МО МО Озеро Долгое </v>
      </c>
      <c r="D200" s="2307" t="s">
        <v>696</v>
      </c>
      <c r="E200" s="1345" t="s">
        <v>413</v>
      </c>
      <c r="F200" s="1345" t="str">
        <f>Бюд.р.!D476</f>
        <v>795 06 00</v>
      </c>
      <c r="G200" s="1345"/>
      <c r="H200" s="1681"/>
      <c r="I200" s="1433">
        <f>I201</f>
        <v>1610.9</v>
      </c>
      <c r="J200" s="361"/>
      <c r="K200" s="237"/>
      <c r="L200" s="237"/>
      <c r="M200" s="350"/>
    </row>
    <row r="201" spans="1:13" ht="23.25" customHeight="1" x14ac:dyDescent="0.2">
      <c r="A201" s="217" t="s">
        <v>213</v>
      </c>
      <c r="B201" s="1920" t="s">
        <v>1548</v>
      </c>
      <c r="C201" s="2346" t="str">
        <f>Бюд.р.!A475</f>
        <v>Закупка товаров, работ и услуг  для государственных (муниципальных) нужд</v>
      </c>
      <c r="D201" s="2064" t="s">
        <v>696</v>
      </c>
      <c r="E201" s="1311" t="s">
        <v>413</v>
      </c>
      <c r="F201" s="1311" t="str">
        <f>Бюд.р.!D474</f>
        <v>795 06 00</v>
      </c>
      <c r="G201" s="1311">
        <f>Бюд.р.!F475</f>
        <v>200</v>
      </c>
      <c r="H201" s="1682"/>
      <c r="I201" s="1427">
        <f>Бюд.р.!H474</f>
        <v>1610.9</v>
      </c>
      <c r="J201" s="361"/>
      <c r="K201" s="237"/>
      <c r="L201" s="237"/>
      <c r="M201" s="350"/>
    </row>
    <row r="202" spans="1:13" ht="23.25" customHeight="1" x14ac:dyDescent="0.2">
      <c r="A202" s="214" t="s">
        <v>783</v>
      </c>
      <c r="B202" s="2287" t="s">
        <v>1549</v>
      </c>
      <c r="C202" s="2322" t="str">
        <f>Бюд.р.!A466</f>
        <v>Ведомственная целевая программа по военно-патриотическому воспитанию граждан муниципального образования</v>
      </c>
      <c r="D202" s="2296" t="s">
        <v>696</v>
      </c>
      <c r="E202" s="1307" t="s">
        <v>413</v>
      </c>
      <c r="F202" s="1307" t="str">
        <f>Бюд.р.!D466</f>
        <v>795 08 00</v>
      </c>
      <c r="G202" s="1307"/>
      <c r="H202" s="1881"/>
      <c r="I202" s="1429">
        <f>I203</f>
        <v>1106.2</v>
      </c>
      <c r="J202" s="361"/>
      <c r="K202" s="237"/>
      <c r="L202" s="237"/>
      <c r="M202" s="350"/>
    </row>
    <row r="203" spans="1:13" ht="22.5" x14ac:dyDescent="0.2">
      <c r="A203" s="218" t="s">
        <v>127</v>
      </c>
      <c r="B203" s="1920" t="s">
        <v>1550</v>
      </c>
      <c r="C203" s="2329" t="str">
        <f>Бюд.р.!A467</f>
        <v>Закупка товаров, работ и услуг  для государственных (муниципальных) нужд</v>
      </c>
      <c r="D203" s="2064" t="s">
        <v>696</v>
      </c>
      <c r="E203" s="1311" t="s">
        <v>413</v>
      </c>
      <c r="F203" s="1311" t="str">
        <f>Бюд.р.!D468</f>
        <v>795 08 00</v>
      </c>
      <c r="G203" s="1311">
        <f>Бюд.р.!F467</f>
        <v>200</v>
      </c>
      <c r="H203" s="1682"/>
      <c r="I203" s="1427">
        <f>Бюд.р.!H468</f>
        <v>1106.2</v>
      </c>
      <c r="J203" s="361"/>
      <c r="K203" s="237"/>
      <c r="L203" s="237"/>
      <c r="M203" s="350"/>
    </row>
    <row r="204" spans="1:13" ht="15" x14ac:dyDescent="0.2">
      <c r="A204" s="218"/>
      <c r="B204" s="2449" t="s">
        <v>583</v>
      </c>
      <c r="C204" s="2448" t="s">
        <v>14</v>
      </c>
      <c r="D204" s="2431" t="s">
        <v>696</v>
      </c>
      <c r="E204" s="2432" t="s">
        <v>18</v>
      </c>
      <c r="F204" s="2446"/>
      <c r="G204" s="2450"/>
      <c r="H204" s="2451"/>
      <c r="I204" s="2434">
        <f>I205+I207</f>
        <v>136.5</v>
      </c>
      <c r="J204" s="361"/>
      <c r="K204" s="237"/>
      <c r="L204" s="237"/>
      <c r="M204" s="350"/>
    </row>
    <row r="205" spans="1:13" ht="34.5" customHeight="1" x14ac:dyDescent="0.2">
      <c r="A205" s="218"/>
      <c r="B205" s="2287" t="s">
        <v>586</v>
      </c>
      <c r="C205" s="2326" t="s">
        <v>1144</v>
      </c>
      <c r="D205" s="2296" t="s">
        <v>696</v>
      </c>
      <c r="E205" s="1307" t="s">
        <v>18</v>
      </c>
      <c r="F205" s="1307" t="s">
        <v>463</v>
      </c>
      <c r="G205" s="1307"/>
      <c r="H205" s="1881"/>
      <c r="I205" s="1429">
        <f>I206</f>
        <v>30</v>
      </c>
      <c r="J205" s="361"/>
      <c r="K205" s="237"/>
      <c r="L205" s="237"/>
      <c r="M205" s="350"/>
    </row>
    <row r="206" spans="1:13" ht="25.5" customHeight="1" x14ac:dyDescent="0.2">
      <c r="A206" s="218"/>
      <c r="B206" s="1920" t="s">
        <v>587</v>
      </c>
      <c r="C206" s="2329" t="str">
        <f>Бюд.р.!A492</f>
        <v>Закупка товаров, работ и услуг  для государственных (муниципальных) нужд</v>
      </c>
      <c r="D206" s="2064" t="s">
        <v>696</v>
      </c>
      <c r="E206" s="1311" t="s">
        <v>18</v>
      </c>
      <c r="F206" s="1311" t="str">
        <f>Бюд.р.!D493</f>
        <v>795 01 00</v>
      </c>
      <c r="G206" s="1311">
        <f>Бюд.р.!F492</f>
        <v>200</v>
      </c>
      <c r="H206" s="1682"/>
      <c r="I206" s="1427">
        <f>Бюд.р.!H493</f>
        <v>30</v>
      </c>
      <c r="J206" s="361"/>
      <c r="K206" s="237"/>
      <c r="L206" s="237"/>
      <c r="M206" s="350"/>
    </row>
    <row r="207" spans="1:13" ht="22.5" x14ac:dyDescent="0.2">
      <c r="A207" s="218"/>
      <c r="B207" s="2287" t="s">
        <v>1036</v>
      </c>
      <c r="C207" s="2326" t="s">
        <v>1146</v>
      </c>
      <c r="D207" s="2296" t="s">
        <v>696</v>
      </c>
      <c r="E207" s="1307" t="s">
        <v>18</v>
      </c>
      <c r="F207" s="1307" t="s">
        <v>163</v>
      </c>
      <c r="G207" s="1307"/>
      <c r="H207" s="1881"/>
      <c r="I207" s="1429">
        <f>I208</f>
        <v>106.5</v>
      </c>
      <c r="J207" s="361"/>
      <c r="K207" s="237"/>
      <c r="L207" s="237"/>
      <c r="M207" s="350"/>
    </row>
    <row r="208" spans="1:13" ht="22.5" customHeight="1" x14ac:dyDescent="0.2">
      <c r="A208" s="218"/>
      <c r="B208" s="1920" t="s">
        <v>1443</v>
      </c>
      <c r="C208" s="2329" t="str">
        <f>Бюд.р.!A501</f>
        <v>Закупка товаров, работ и услуг  для государственных (муниципальных) нужд</v>
      </c>
      <c r="D208" s="2064" t="s">
        <v>696</v>
      </c>
      <c r="E208" s="1311" t="s">
        <v>18</v>
      </c>
      <c r="F208" s="1311" t="str">
        <f>Бюд.р.!D502</f>
        <v>795 04 00</v>
      </c>
      <c r="G208" s="1311">
        <f>Бюд.р.!F501</f>
        <v>200</v>
      </c>
      <c r="H208" s="1682"/>
      <c r="I208" s="1427">
        <f>Бюд.р.!H502</f>
        <v>106.5</v>
      </c>
      <c r="J208" s="361"/>
      <c r="K208" s="237"/>
      <c r="L208" s="237"/>
      <c r="M208" s="350"/>
    </row>
    <row r="209" spans="1:13" ht="17.25" hidden="1" customHeight="1" thickBot="1" x14ac:dyDescent="0.25">
      <c r="A209" s="218"/>
      <c r="B209" s="2285" t="s">
        <v>520</v>
      </c>
      <c r="C209" s="2320" t="s">
        <v>1039</v>
      </c>
      <c r="D209" s="2294" t="s">
        <v>696</v>
      </c>
      <c r="E209" s="2254" t="s">
        <v>416</v>
      </c>
      <c r="F209" s="2265"/>
      <c r="G209" s="2265"/>
      <c r="H209" s="2370"/>
      <c r="I209" s="2381">
        <f>I210+I213</f>
        <v>11628.808999999999</v>
      </c>
      <c r="J209" s="365" t="e">
        <f>J210+#REF!</f>
        <v>#REF!</v>
      </c>
      <c r="K209" s="349" t="e">
        <f>K210+#REF!</f>
        <v>#REF!</v>
      </c>
      <c r="L209" s="349" t="e">
        <f>L210+#REF!</f>
        <v>#REF!</v>
      </c>
      <c r="M209" s="388" t="e">
        <f>M210+#REF!</f>
        <v>#REF!</v>
      </c>
    </row>
    <row r="210" spans="1:13" ht="15" x14ac:dyDescent="0.2">
      <c r="A210" s="218"/>
      <c r="B210" s="2449" t="s">
        <v>584</v>
      </c>
      <c r="C210" s="2430" t="s">
        <v>772</v>
      </c>
      <c r="D210" s="2431" t="s">
        <v>696</v>
      </c>
      <c r="E210" s="2432" t="s">
        <v>417</v>
      </c>
      <c r="F210" s="2444"/>
      <c r="G210" s="2444"/>
      <c r="H210" s="2445"/>
      <c r="I210" s="2434">
        <f>I211</f>
        <v>10081.829</v>
      </c>
      <c r="J210" s="358">
        <f t="shared" ref="J210:M211" si="2">J211</f>
        <v>849</v>
      </c>
      <c r="K210" s="152">
        <f t="shared" si="2"/>
        <v>707</v>
      </c>
      <c r="L210" s="152">
        <f t="shared" si="2"/>
        <v>197</v>
      </c>
      <c r="M210" s="382">
        <f t="shared" si="2"/>
        <v>253</v>
      </c>
    </row>
    <row r="211" spans="1:13" ht="57" customHeight="1" x14ac:dyDescent="0.2">
      <c r="A211" s="218"/>
      <c r="B211" s="2287" t="s">
        <v>588</v>
      </c>
      <c r="C211" s="1772" t="str">
        <f>Бюд.р.!A508</f>
        <v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211" s="2296" t="s">
        <v>696</v>
      </c>
      <c r="E211" s="1350" t="s">
        <v>417</v>
      </c>
      <c r="F211" s="1350" t="str">
        <f>Бюд.р.!D508</f>
        <v>795 09 00</v>
      </c>
      <c r="G211" s="1379"/>
      <c r="H211" s="2368"/>
      <c r="I211" s="1429">
        <f>I212</f>
        <v>10081.829</v>
      </c>
      <c r="J211" s="359">
        <f t="shared" si="2"/>
        <v>849</v>
      </c>
      <c r="K211" s="186">
        <f t="shared" si="2"/>
        <v>707</v>
      </c>
      <c r="L211" s="186">
        <f t="shared" si="2"/>
        <v>197</v>
      </c>
      <c r="M211" s="383">
        <f t="shared" si="2"/>
        <v>253</v>
      </c>
    </row>
    <row r="212" spans="1:13" ht="13.5" customHeight="1" x14ac:dyDescent="0.2">
      <c r="A212" s="218"/>
      <c r="B212" s="1920" t="s">
        <v>589</v>
      </c>
      <c r="C212" s="2329" t="str">
        <f>Бюд.р.!A510</f>
        <v>Прочая закупка товаров, работ и услуг для муниципальных нужд</v>
      </c>
      <c r="D212" s="2064" t="s">
        <v>696</v>
      </c>
      <c r="E212" s="1311" t="s">
        <v>417</v>
      </c>
      <c r="F212" s="1311" t="str">
        <f>Бюд.р.!D510</f>
        <v>795 09 00</v>
      </c>
      <c r="G212" s="1311">
        <f>Бюд.р.!F510</f>
        <v>244</v>
      </c>
      <c r="H212" s="2368"/>
      <c r="I212" s="1427">
        <f>Бюд.р.!H510</f>
        <v>10081.829</v>
      </c>
      <c r="J212" s="360">
        <v>849</v>
      </c>
      <c r="K212" s="189">
        <v>707</v>
      </c>
      <c r="L212" s="189">
        <v>197</v>
      </c>
      <c r="M212" s="384">
        <v>253</v>
      </c>
    </row>
    <row r="213" spans="1:13" ht="21.75" customHeight="1" x14ac:dyDescent="0.2">
      <c r="A213" s="218"/>
      <c r="B213" s="2449" t="s">
        <v>38</v>
      </c>
      <c r="C213" s="2945" t="s">
        <v>1391</v>
      </c>
      <c r="D213" s="2431" t="s">
        <v>696</v>
      </c>
      <c r="E213" s="2479" t="s">
        <v>1442</v>
      </c>
      <c r="F213" s="2444"/>
      <c r="G213" s="2444"/>
      <c r="H213" s="2445"/>
      <c r="I213" s="2434">
        <f>I214+I216</f>
        <v>1546.98</v>
      </c>
      <c r="J213" s="360"/>
      <c r="K213" s="189"/>
      <c r="L213" s="189"/>
      <c r="M213" s="384"/>
    </row>
    <row r="214" spans="1:13" ht="36" customHeight="1" x14ac:dyDescent="0.2">
      <c r="A214" s="218"/>
      <c r="B214" s="1921" t="s">
        <v>42</v>
      </c>
      <c r="C214" s="1772" t="s">
        <v>1304</v>
      </c>
      <c r="D214" s="2307" t="s">
        <v>696</v>
      </c>
      <c r="E214" s="2878" t="s">
        <v>1442</v>
      </c>
      <c r="F214" s="1378" t="s">
        <v>1303</v>
      </c>
      <c r="G214" s="1378"/>
      <c r="H214" s="1708"/>
      <c r="I214" s="1433">
        <f>I215</f>
        <v>1314.25</v>
      </c>
      <c r="J214" s="360"/>
      <c r="K214" s="189"/>
      <c r="L214" s="189"/>
      <c r="M214" s="384"/>
    </row>
    <row r="215" spans="1:13" ht="25.5" customHeight="1" x14ac:dyDescent="0.2">
      <c r="A215" s="218"/>
      <c r="B215" s="1920" t="s">
        <v>43</v>
      </c>
      <c r="C215" s="2329" t="str">
        <f>Бюд.р.!A518</f>
        <v>Закупка товаров, работ и услуг  для государственных (муниципальных) нужд</v>
      </c>
      <c r="D215" s="2064" t="s">
        <v>696</v>
      </c>
      <c r="E215" s="2255" t="s">
        <v>1442</v>
      </c>
      <c r="F215" s="1311" t="str">
        <f>Бюд.р.!D519</f>
        <v>795 06 00</v>
      </c>
      <c r="G215" s="1311">
        <f>Бюд.р.!F518</f>
        <v>200</v>
      </c>
      <c r="H215" s="2368"/>
      <c r="I215" s="1427">
        <f>Бюд.р.!H519</f>
        <v>1314.25</v>
      </c>
      <c r="J215" s="360"/>
      <c r="K215" s="189"/>
      <c r="L215" s="189"/>
      <c r="M215" s="384"/>
    </row>
    <row r="216" spans="1:13" ht="27" customHeight="1" x14ac:dyDescent="0.2">
      <c r="A216" s="219"/>
      <c r="B216" s="1921" t="s">
        <v>1551</v>
      </c>
      <c r="C216" s="2326" t="str">
        <f>Бюд.р.!A523</f>
        <v>Ведомственная целевая программа по военно-патриотическому воспитанию граждан муниципального образования</v>
      </c>
      <c r="D216" s="2308">
        <f>Бюд.р.!B523</f>
        <v>968</v>
      </c>
      <c r="E216" s="1348">
        <f>Бюд.р.!C523</f>
        <v>804</v>
      </c>
      <c r="F216" s="1348" t="str">
        <f>Бюд.р.!D523</f>
        <v>795 08 00</v>
      </c>
      <c r="G216" s="1378"/>
      <c r="H216" s="1708"/>
      <c r="I216" s="1433">
        <f>I217</f>
        <v>232.73000000000002</v>
      </c>
      <c r="J216" s="365"/>
      <c r="K216" s="349"/>
      <c r="L216" s="349"/>
      <c r="M216" s="388"/>
    </row>
    <row r="217" spans="1:13" ht="23.25" customHeight="1" x14ac:dyDescent="0.2">
      <c r="A217" s="219"/>
      <c r="B217" s="1920" t="s">
        <v>1552</v>
      </c>
      <c r="C217" s="2346" t="str">
        <f>Бюд.р.!A524</f>
        <v>Закупка товаров, работ и услуг  для государственных (муниципальных) нужд</v>
      </c>
      <c r="D217" s="2314">
        <f>Бюд.р.!B525</f>
        <v>968</v>
      </c>
      <c r="E217" s="1491">
        <f>Бюд.р.!C525</f>
        <v>804</v>
      </c>
      <c r="F217" s="1491" t="str">
        <f>Бюд.р.!D525</f>
        <v>795 08 00</v>
      </c>
      <c r="G217" s="1491">
        <f>Бюд.р.!F524</f>
        <v>200</v>
      </c>
      <c r="H217" s="1708"/>
      <c r="I217" s="1427">
        <f>Бюд.р.!H525</f>
        <v>232.73000000000002</v>
      </c>
      <c r="J217" s="365"/>
      <c r="K217" s="349"/>
      <c r="L217" s="349"/>
      <c r="M217" s="388"/>
    </row>
    <row r="218" spans="1:13" ht="14.25" customHeight="1" x14ac:dyDescent="0.2">
      <c r="A218" s="219"/>
      <c r="B218" s="2449" t="s">
        <v>86</v>
      </c>
      <c r="C218" s="2435" t="s">
        <v>1097</v>
      </c>
      <c r="D218" s="2431" t="s">
        <v>696</v>
      </c>
      <c r="E218" s="2444" t="s">
        <v>1101</v>
      </c>
      <c r="F218" s="2444"/>
      <c r="G218" s="2444"/>
      <c r="H218" s="2445"/>
      <c r="I218" s="2434">
        <f>I219</f>
        <v>970.2</v>
      </c>
      <c r="J218" s="365"/>
      <c r="K218" s="349"/>
      <c r="L218" s="349"/>
      <c r="M218" s="388"/>
    </row>
    <row r="219" spans="1:13" ht="36" customHeight="1" x14ac:dyDescent="0.2">
      <c r="A219" s="219"/>
      <c r="B219" s="2287" t="s">
        <v>87</v>
      </c>
      <c r="C219" s="2326" t="str">
        <f>Бюд.р.!A530</f>
        <v>РАСХОДЫ НА ПРЕДОСТАВЛЕНИЕ ДОПЛАТ К ПЕНСИИ ЛИЦАМ, ЗАМЕЩАВШИМ МУНИЦИПАЛЬНЫЕ ДОЛЖНОСТИ И ДОЛЖНОСТИ МУНИЦИПАЛЬНОЙ СЛУЖБЫ</v>
      </c>
      <c r="D219" s="2296" t="s">
        <v>696</v>
      </c>
      <c r="E219" s="1350" t="s">
        <v>1101</v>
      </c>
      <c r="F219" s="1329" t="s">
        <v>1099</v>
      </c>
      <c r="G219" s="1348"/>
      <c r="H219" s="1682"/>
      <c r="I219" s="1430">
        <f>I220</f>
        <v>970.2</v>
      </c>
      <c r="J219" s="365"/>
      <c r="K219" s="349"/>
      <c r="L219" s="349"/>
      <c r="M219" s="388"/>
    </row>
    <row r="220" spans="1:13" ht="15.75" customHeight="1" x14ac:dyDescent="0.2">
      <c r="A220" s="219"/>
      <c r="B220" s="1920" t="s">
        <v>88</v>
      </c>
      <c r="C220" s="2329" t="str">
        <f>Бюд.р.!A531</f>
        <v>Социальное обеспечение и иные выплаты населению</v>
      </c>
      <c r="D220" s="2064" t="s">
        <v>696</v>
      </c>
      <c r="E220" s="1381" t="s">
        <v>1101</v>
      </c>
      <c r="F220" s="1382" t="str">
        <f>Бюд.р.!D532</f>
        <v>505 01 00</v>
      </c>
      <c r="G220" s="1333">
        <f>Бюд.р.!F531</f>
        <v>300</v>
      </c>
      <c r="H220" s="1693"/>
      <c r="I220" s="1431">
        <f>Бюд.р.!H534</f>
        <v>970.2</v>
      </c>
      <c r="J220" s="365"/>
      <c r="K220" s="349"/>
      <c r="L220" s="349"/>
      <c r="M220" s="388"/>
    </row>
    <row r="221" spans="1:13" ht="12.75" customHeight="1" x14ac:dyDescent="0.2">
      <c r="A221" s="219"/>
      <c r="B221" s="2449" t="s">
        <v>1104</v>
      </c>
      <c r="C221" s="2435" t="s">
        <v>779</v>
      </c>
      <c r="D221" s="2431" t="s">
        <v>696</v>
      </c>
      <c r="E221" s="2444" t="s">
        <v>922</v>
      </c>
      <c r="F221" s="2444"/>
      <c r="G221" s="2444"/>
      <c r="H221" s="2445"/>
      <c r="I221" s="2434">
        <f>I222+I225+I227</f>
        <v>15941.699999999999</v>
      </c>
      <c r="J221" s="358" t="e">
        <f>J225</f>
        <v>#REF!</v>
      </c>
      <c r="K221" s="152" t="e">
        <f>#REF!+#REF!</f>
        <v>#REF!</v>
      </c>
      <c r="L221" s="152" t="e">
        <f>#REF!+#REF!</f>
        <v>#REF!</v>
      </c>
      <c r="M221" s="382" t="e">
        <f>#REF!+#REF!</f>
        <v>#REF!</v>
      </c>
    </row>
    <row r="222" spans="1:13" ht="34.5" customHeight="1" x14ac:dyDescent="0.2">
      <c r="A222" s="219"/>
      <c r="B222" s="1921" t="s">
        <v>1105</v>
      </c>
      <c r="C222" s="2326" t="str">
        <f>Бюд.р.!A536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222" s="2296" t="s">
        <v>696</v>
      </c>
      <c r="E222" s="1350" t="s">
        <v>922</v>
      </c>
      <c r="F222" s="1329" t="str">
        <f>Бюд.р.!D536</f>
        <v>002 80 31</v>
      </c>
      <c r="G222" s="1348"/>
      <c r="H222" s="1682"/>
      <c r="I222" s="1430">
        <f>SUM(I223:I224)</f>
        <v>3724</v>
      </c>
      <c r="J222" s="358"/>
      <c r="K222" s="358"/>
      <c r="L222" s="358"/>
      <c r="M222" s="1164"/>
    </row>
    <row r="223" spans="1:13" ht="36.75" customHeight="1" x14ac:dyDescent="0.2">
      <c r="A223" s="219"/>
      <c r="B223" s="1920" t="s">
        <v>1106</v>
      </c>
      <c r="C223" s="2329" t="str">
        <f>Бюд.р.!A537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23" s="2064" t="s">
        <v>696</v>
      </c>
      <c r="E223" s="1381" t="s">
        <v>922</v>
      </c>
      <c r="F223" s="1382" t="str">
        <f>Бюд.р.!D538</f>
        <v>002  80 31</v>
      </c>
      <c r="G223" s="1333">
        <f>Бюд.р.!F537</f>
        <v>100</v>
      </c>
      <c r="H223" s="1693"/>
      <c r="I223" s="1431">
        <f>Бюд.р.!H538</f>
        <v>3469.0160000000001</v>
      </c>
      <c r="J223" s="358"/>
      <c r="K223" s="358"/>
      <c r="L223" s="358"/>
      <c r="M223" s="1164"/>
    </row>
    <row r="224" spans="1:13" ht="24" customHeight="1" x14ac:dyDescent="0.2">
      <c r="A224" s="219"/>
      <c r="B224" s="1920" t="s">
        <v>1444</v>
      </c>
      <c r="C224" s="2329" t="str">
        <f>Бюд.р.!A543</f>
        <v>Закупка товаров, работ и услуг  для государственных (муниципальных) нужд</v>
      </c>
      <c r="D224" s="2064">
        <v>968</v>
      </c>
      <c r="E224" s="1381">
        <v>1004</v>
      </c>
      <c r="F224" s="1382" t="str">
        <f>Бюд.р.!D550</f>
        <v>002 80 31</v>
      </c>
      <c r="G224" s="1333">
        <f>Бюд.р.!F543</f>
        <v>200</v>
      </c>
      <c r="H224" s="1693"/>
      <c r="I224" s="1431">
        <f>Бюд.р.!H543</f>
        <v>254.98399999999998</v>
      </c>
      <c r="J224" s="358"/>
      <c r="K224" s="358"/>
      <c r="L224" s="358"/>
      <c r="M224" s="1164"/>
    </row>
    <row r="225" spans="1:13" ht="36" customHeight="1" x14ac:dyDescent="0.2">
      <c r="A225" s="219"/>
      <c r="B225" s="1921" t="s">
        <v>1445</v>
      </c>
      <c r="C225" s="2322" t="str">
        <f>Бюд.р.!A557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225" s="2296" t="s">
        <v>696</v>
      </c>
      <c r="E225" s="1350" t="s">
        <v>922</v>
      </c>
      <c r="F225" s="1350" t="str">
        <f>Бюд.р.!D557</f>
        <v>511 80 32</v>
      </c>
      <c r="G225" s="1350"/>
      <c r="H225" s="1883"/>
      <c r="I225" s="1429">
        <f>I226</f>
        <v>9259.7999999999993</v>
      </c>
      <c r="J225" s="359" t="e">
        <f>#REF!+#REF!</f>
        <v>#REF!</v>
      </c>
      <c r="K225" s="359" t="e">
        <f>#REF!+#REF!</f>
        <v>#REF!</v>
      </c>
      <c r="L225" s="359" t="e">
        <f>#REF!+#REF!</f>
        <v>#REF!</v>
      </c>
      <c r="M225" s="359" t="e">
        <f>#REF!+#REF!</f>
        <v>#REF!</v>
      </c>
    </row>
    <row r="226" spans="1:13" ht="18.75" customHeight="1" x14ac:dyDescent="0.2">
      <c r="A226" s="219"/>
      <c r="B226" s="1920" t="s">
        <v>1446</v>
      </c>
      <c r="C226" s="2943" t="str">
        <f>Бюд.р.!A558</f>
        <v>Социальное обеспечение и иные выплаты населению</v>
      </c>
      <c r="D226" s="2064" t="s">
        <v>696</v>
      </c>
      <c r="E226" s="1381" t="s">
        <v>922</v>
      </c>
      <c r="F226" s="1377" t="str">
        <f>Бюд.р.!D559</f>
        <v>511 80 32</v>
      </c>
      <c r="G226" s="1381">
        <f>Бюд.р.!F558</f>
        <v>300</v>
      </c>
      <c r="H226" s="1883"/>
      <c r="I226" s="1427">
        <f>Бюд.р.!H559</f>
        <v>9259.7999999999993</v>
      </c>
      <c r="J226" s="360">
        <v>1470</v>
      </c>
      <c r="K226" s="189">
        <v>1500</v>
      </c>
      <c r="L226" s="189">
        <v>1515</v>
      </c>
      <c r="M226" s="384">
        <v>1515</v>
      </c>
    </row>
    <row r="227" spans="1:13" ht="34.5" customHeight="1" x14ac:dyDescent="0.2">
      <c r="A227" s="779"/>
      <c r="B227" s="1921" t="s">
        <v>1447</v>
      </c>
      <c r="C227" s="2322" t="str">
        <f>Бюд.р.!A562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227" s="2296" t="s">
        <v>696</v>
      </c>
      <c r="E227" s="1350" t="s">
        <v>922</v>
      </c>
      <c r="F227" s="1350" t="str">
        <f>Бюд.р.!D562</f>
        <v>511 80 33</v>
      </c>
      <c r="G227" s="1350"/>
      <c r="H227" s="2374"/>
      <c r="I227" s="1430">
        <f>I228</f>
        <v>2957.9</v>
      </c>
      <c r="J227" s="780"/>
      <c r="K227" s="780"/>
      <c r="L227" s="780"/>
      <c r="M227" s="338"/>
    </row>
    <row r="228" spans="1:13" ht="18" customHeight="1" x14ac:dyDescent="0.2">
      <c r="A228" s="779"/>
      <c r="B228" s="1920" t="s">
        <v>1448</v>
      </c>
      <c r="C228" s="2943" t="str">
        <f>Бюд.р.!A563</f>
        <v>Социальное обеспечение и иные выплаты населению</v>
      </c>
      <c r="D228" s="2064" t="s">
        <v>696</v>
      </c>
      <c r="E228" s="1381" t="s">
        <v>922</v>
      </c>
      <c r="F228" s="1377" t="str">
        <f>Бюд.р.!D564</f>
        <v>511 80 33</v>
      </c>
      <c r="G228" s="1381">
        <f>Бюд.р.!F563</f>
        <v>300</v>
      </c>
      <c r="H228" s="2372"/>
      <c r="I228" s="1427">
        <f>Бюд.р.!H564</f>
        <v>2957.9</v>
      </c>
      <c r="J228" s="780"/>
      <c r="K228" s="780"/>
      <c r="L228" s="780"/>
      <c r="M228" s="338"/>
    </row>
    <row r="229" spans="1:13" ht="40.5" hidden="1" customHeight="1" thickBot="1" x14ac:dyDescent="0.25">
      <c r="A229" s="420"/>
      <c r="B229" s="1920"/>
      <c r="C229" s="2343" t="s">
        <v>984</v>
      </c>
      <c r="D229" s="2310" t="s">
        <v>985</v>
      </c>
      <c r="E229" s="1381"/>
      <c r="F229" s="1377"/>
      <c r="G229" s="1381"/>
      <c r="H229" s="1709"/>
      <c r="I229" s="2383">
        <f>I230</f>
        <v>0</v>
      </c>
      <c r="J229" s="389"/>
      <c r="K229" s="389"/>
      <c r="L229" s="389"/>
      <c r="M229" s="537"/>
    </row>
    <row r="230" spans="1:13" ht="24.75" hidden="1" customHeight="1" thickBot="1" x14ac:dyDescent="0.25">
      <c r="A230" s="420"/>
      <c r="B230" s="2288" t="s">
        <v>738</v>
      </c>
      <c r="C230" s="2344" t="s">
        <v>122</v>
      </c>
      <c r="D230" s="2313" t="s">
        <v>985</v>
      </c>
      <c r="E230" s="2266" t="s">
        <v>511</v>
      </c>
      <c r="F230" s="2266"/>
      <c r="G230" s="2266"/>
      <c r="H230" s="2375"/>
      <c r="I230" s="2384">
        <f>I231</f>
        <v>0</v>
      </c>
      <c r="J230" s="389"/>
      <c r="K230" s="389"/>
      <c r="L230" s="389"/>
      <c r="M230" s="537"/>
    </row>
    <row r="231" spans="1:13" ht="31.5" hidden="1" customHeight="1" thickBot="1" x14ac:dyDescent="0.25">
      <c r="A231" s="420"/>
      <c r="B231" s="2289" t="s">
        <v>86</v>
      </c>
      <c r="C231" s="2345" t="s">
        <v>28</v>
      </c>
      <c r="D231" s="2295">
        <v>917</v>
      </c>
      <c r="E231" s="1304" t="s">
        <v>590</v>
      </c>
      <c r="F231" s="1390"/>
      <c r="G231" s="1759"/>
      <c r="H231" s="1713"/>
      <c r="I231" s="1425">
        <f>I232</f>
        <v>0</v>
      </c>
      <c r="J231" s="389"/>
      <c r="K231" s="389"/>
      <c r="L231" s="389"/>
      <c r="M231" s="537"/>
    </row>
    <row r="232" spans="1:13" ht="24.75" hidden="1" customHeight="1" thickBot="1" x14ac:dyDescent="0.25">
      <c r="A232" s="420"/>
      <c r="B232" s="1921" t="s">
        <v>87</v>
      </c>
      <c r="C232" s="2328" t="s">
        <v>161</v>
      </c>
      <c r="D232" s="2312">
        <v>917</v>
      </c>
      <c r="E232" s="1360" t="s">
        <v>590</v>
      </c>
      <c r="F232" s="1360" t="s">
        <v>162</v>
      </c>
      <c r="G232" s="1381"/>
      <c r="H232" s="1709"/>
      <c r="I232" s="1429">
        <f>I233</f>
        <v>0</v>
      </c>
      <c r="J232" s="389"/>
      <c r="K232" s="389"/>
      <c r="L232" s="389"/>
      <c r="M232" s="537"/>
    </row>
    <row r="233" spans="1:13" ht="16.5" hidden="1" customHeight="1" thickBot="1" x14ac:dyDescent="0.25">
      <c r="A233" s="420"/>
      <c r="B233" s="1920" t="s">
        <v>88</v>
      </c>
      <c r="C233" s="2346" t="s">
        <v>469</v>
      </c>
      <c r="D233" s="2314">
        <v>917</v>
      </c>
      <c r="E233" s="1491" t="s">
        <v>590</v>
      </c>
      <c r="F233" s="1491" t="s">
        <v>162</v>
      </c>
      <c r="G233" s="1491">
        <v>500</v>
      </c>
      <c r="H233" s="1709"/>
      <c r="I233" s="1427">
        <f>Бюд.р.!H572</f>
        <v>0</v>
      </c>
      <c r="J233" s="389"/>
      <c r="K233" s="389"/>
      <c r="L233" s="389"/>
      <c r="M233" s="537"/>
    </row>
    <row r="234" spans="1:13" ht="14.25" customHeight="1" thickBot="1" x14ac:dyDescent="0.25">
      <c r="A234" s="420"/>
      <c r="B234" s="2960" t="s">
        <v>1028</v>
      </c>
      <c r="C234" s="2961" t="s">
        <v>1018</v>
      </c>
      <c r="D234" s="2962">
        <v>968</v>
      </c>
      <c r="E234" s="2963">
        <v>1100</v>
      </c>
      <c r="F234" s="2963"/>
      <c r="G234" s="2963"/>
      <c r="H234" s="2964"/>
      <c r="I234" s="2965">
        <f>I235</f>
        <v>3557.8850000000002</v>
      </c>
      <c r="J234" s="389"/>
      <c r="K234" s="389"/>
      <c r="L234" s="389"/>
      <c r="M234" s="537"/>
    </row>
    <row r="235" spans="1:13" ht="14.25" customHeight="1" thickBot="1" x14ac:dyDescent="0.25">
      <c r="A235" s="420"/>
      <c r="B235" s="2452" t="s">
        <v>1194</v>
      </c>
      <c r="C235" s="2453" t="s">
        <v>1019</v>
      </c>
      <c r="D235" s="2454">
        <v>968</v>
      </c>
      <c r="E235" s="2455">
        <v>1102</v>
      </c>
      <c r="F235" s="2455"/>
      <c r="G235" s="2455"/>
      <c r="H235" s="2456"/>
      <c r="I235" s="2457">
        <f>I236</f>
        <v>3557.8850000000002</v>
      </c>
      <c r="J235" s="389"/>
      <c r="K235" s="389"/>
      <c r="L235" s="389"/>
      <c r="M235" s="537"/>
    </row>
    <row r="236" spans="1:13" ht="33.75" customHeight="1" thickBot="1" x14ac:dyDescent="0.25">
      <c r="A236" s="420"/>
      <c r="B236" s="1921" t="s">
        <v>1195</v>
      </c>
      <c r="C236" s="2326" t="s">
        <v>778</v>
      </c>
      <c r="D236" s="2299">
        <v>968</v>
      </c>
      <c r="E236" s="1329">
        <v>1102</v>
      </c>
      <c r="F236" s="1329" t="s">
        <v>1141</v>
      </c>
      <c r="G236" s="1329"/>
      <c r="H236" s="2377"/>
      <c r="I236" s="1430">
        <f>I237</f>
        <v>3557.8850000000002</v>
      </c>
      <c r="J236" s="389"/>
      <c r="K236" s="389"/>
      <c r="L236" s="389"/>
      <c r="M236" s="537"/>
    </row>
    <row r="237" spans="1:13" ht="18" hidden="1" customHeight="1" thickBot="1" x14ac:dyDescent="0.25">
      <c r="A237" s="420"/>
      <c r="B237" s="1920" t="s">
        <v>1302</v>
      </c>
      <c r="C237" s="2329" t="str">
        <f>Бюд.р.!A579</f>
        <v>Иные закупки товаров, работ и услуг для муниципальных нужд</v>
      </c>
      <c r="D237" s="2301">
        <v>968</v>
      </c>
      <c r="E237" s="1333">
        <v>1102</v>
      </c>
      <c r="F237" s="1333" t="s">
        <v>1141</v>
      </c>
      <c r="G237" s="1333">
        <v>240</v>
      </c>
      <c r="H237" s="2377"/>
      <c r="I237" s="1431">
        <f>SUM(I238:I239)</f>
        <v>3557.8850000000002</v>
      </c>
      <c r="J237" s="389"/>
      <c r="K237" s="389"/>
      <c r="L237" s="389"/>
      <c r="M237" s="537"/>
    </row>
    <row r="238" spans="1:13" ht="23.25" hidden="1" customHeight="1" thickBot="1" x14ac:dyDescent="0.25">
      <c r="A238" s="420"/>
      <c r="B238" s="1920" t="s">
        <v>215</v>
      </c>
      <c r="C238" s="2329" t="str">
        <f>Бюд.р.!A580</f>
        <v>Закупка товаров, работ, услуг в сфере информационно-коммуникационных технологий</v>
      </c>
      <c r="D238" s="2301">
        <f>Бюд.р.!B353</f>
        <v>968</v>
      </c>
      <c r="E238" s="1333">
        <v>1102</v>
      </c>
      <c r="F238" s="1333" t="s">
        <v>1141</v>
      </c>
      <c r="G238" s="1333">
        <v>242</v>
      </c>
      <c r="H238" s="2373"/>
      <c r="I238" s="1431">
        <f>Бюд.р.!H580</f>
        <v>0</v>
      </c>
      <c r="J238" s="389"/>
      <c r="K238" s="389"/>
      <c r="L238" s="389"/>
      <c r="M238" s="537"/>
    </row>
    <row r="239" spans="1:13" ht="25.5" customHeight="1" thickBot="1" x14ac:dyDescent="0.25">
      <c r="A239" s="420"/>
      <c r="B239" s="1920" t="s">
        <v>1196</v>
      </c>
      <c r="C239" s="2329" t="str">
        <f>Бюд.р.!A578</f>
        <v>Закупка товаров, работ и услуг  для государственных (муниципальных) нужд</v>
      </c>
      <c r="D239" s="2301">
        <f>Бюд.р.!B363</f>
        <v>968</v>
      </c>
      <c r="E239" s="1333">
        <v>1102</v>
      </c>
      <c r="F239" s="1333" t="str">
        <f>Бюд.р.!D583</f>
        <v>795 10 00</v>
      </c>
      <c r="G239" s="1333">
        <f>Бюд.р.!F578</f>
        <v>200</v>
      </c>
      <c r="H239" s="2373"/>
      <c r="I239" s="1431">
        <f>Бюд.р.!H583</f>
        <v>3557.8850000000002</v>
      </c>
      <c r="J239" s="389"/>
      <c r="K239" s="389"/>
      <c r="L239" s="389"/>
      <c r="M239" s="537"/>
    </row>
    <row r="240" spans="1:13" ht="16.5" hidden="1" customHeight="1" thickBot="1" x14ac:dyDescent="0.25">
      <c r="A240" s="420"/>
      <c r="B240" s="2290" t="s">
        <v>1029</v>
      </c>
      <c r="C240" s="2347" t="s">
        <v>1020</v>
      </c>
      <c r="D240" s="2315">
        <v>968</v>
      </c>
      <c r="E240" s="2267">
        <v>1200</v>
      </c>
      <c r="F240" s="2267"/>
      <c r="G240" s="2267"/>
      <c r="H240" s="2376"/>
      <c r="I240" s="2385">
        <f>I241</f>
        <v>1800</v>
      </c>
      <c r="J240" s="389"/>
      <c r="K240" s="389"/>
      <c r="L240" s="389"/>
      <c r="M240" s="537"/>
    </row>
    <row r="241" spans="1:13" ht="13.5" customHeight="1" thickBot="1" x14ac:dyDescent="0.25">
      <c r="A241" s="420"/>
      <c r="B241" s="2452" t="s">
        <v>1300</v>
      </c>
      <c r="C241" s="2453" t="s">
        <v>773</v>
      </c>
      <c r="D241" s="2454">
        <v>968</v>
      </c>
      <c r="E241" s="2455">
        <v>1202</v>
      </c>
      <c r="F241" s="2455"/>
      <c r="G241" s="2455"/>
      <c r="H241" s="2456"/>
      <c r="I241" s="2457">
        <f>I242</f>
        <v>1800</v>
      </c>
      <c r="J241" s="389"/>
      <c r="K241" s="389"/>
      <c r="L241" s="389"/>
      <c r="M241" s="537"/>
    </row>
    <row r="242" spans="1:13" ht="23.25" customHeight="1" thickBot="1" x14ac:dyDescent="0.25">
      <c r="A242" s="420"/>
      <c r="B242" s="1921" t="s">
        <v>1301</v>
      </c>
      <c r="C242" s="2326" t="str">
        <f>Бюд.р.!A591</f>
        <v xml:space="preserve">ОПУБЛИКОВАНИЕ МУНИЦИПАЛЬНЫХ ПРАВОВЫХ АКТОВ, ИНОЙ ИНФОРМАЦИИ </v>
      </c>
      <c r="D242" s="2300">
        <v>968</v>
      </c>
      <c r="E242" s="1331">
        <v>1202</v>
      </c>
      <c r="F242" s="1331" t="s">
        <v>777</v>
      </c>
      <c r="G242" s="1331"/>
      <c r="H242" s="2378"/>
      <c r="I242" s="1430">
        <f>I243</f>
        <v>1800</v>
      </c>
      <c r="J242" s="389"/>
      <c r="K242" s="389"/>
      <c r="L242" s="389"/>
      <c r="M242" s="537"/>
    </row>
    <row r="243" spans="1:13" ht="23.25" customHeight="1" thickBot="1" x14ac:dyDescent="0.25">
      <c r="A243" s="420"/>
      <c r="B243" s="1931" t="s">
        <v>1302</v>
      </c>
      <c r="C243" s="2348" t="str">
        <f>Бюд.р.!A592</f>
        <v>Закупка товаров, работ и услуг  для государственных (муниципальных) нужд</v>
      </c>
      <c r="D243" s="2316">
        <v>968</v>
      </c>
      <c r="E243" s="1597">
        <v>1202</v>
      </c>
      <c r="F243" s="1597" t="str">
        <f>Бюд.р.!D593</f>
        <v>457 03 00</v>
      </c>
      <c r="G243" s="1597">
        <f>Бюд.р.!F592</f>
        <v>200</v>
      </c>
      <c r="H243" s="2379"/>
      <c r="I243" s="1439">
        <f>Бюд.р.!H593</f>
        <v>1800</v>
      </c>
      <c r="J243" s="389"/>
      <c r="K243" s="389"/>
      <c r="L243" s="389"/>
      <c r="M243" s="537"/>
    </row>
    <row r="244" spans="1:13" ht="16.5" customHeight="1" thickBot="1" x14ac:dyDescent="0.3">
      <c r="A244" s="420"/>
      <c r="B244" s="2247"/>
      <c r="C244" s="2248" t="s">
        <v>348</v>
      </c>
      <c r="D244" s="2249"/>
      <c r="E244" s="2250"/>
      <c r="F244" s="2250"/>
      <c r="G244" s="2251"/>
      <c r="H244" s="2252"/>
      <c r="I244" s="2253">
        <f>I19+I29+I66</f>
        <v>124658.99999999999</v>
      </c>
      <c r="J244" s="389"/>
      <c r="K244" s="389"/>
      <c r="L244" s="389"/>
      <c r="M244" s="537"/>
    </row>
    <row r="245" spans="1:13" ht="19.5" customHeight="1" thickBot="1" x14ac:dyDescent="0.25">
      <c r="A245" s="420"/>
      <c r="B245" s="1776"/>
      <c r="C245" s="1777" t="s">
        <v>388</v>
      </c>
      <c r="D245" s="1778"/>
      <c r="E245" s="1778"/>
      <c r="F245" s="3013" t="s">
        <v>1465</v>
      </c>
      <c r="G245" s="3013"/>
      <c r="H245" s="3013"/>
      <c r="I245" s="3013"/>
      <c r="J245" s="3013"/>
      <c r="K245" s="3013"/>
      <c r="L245" s="3013"/>
      <c r="M245" s="537"/>
    </row>
    <row r="246" spans="1:13" ht="22.5" customHeight="1" thickBot="1" x14ac:dyDescent="0.25">
      <c r="A246" s="402" t="s">
        <v>812</v>
      </c>
      <c r="B246" s="1776"/>
      <c r="C246" s="552" t="s">
        <v>389</v>
      </c>
      <c r="D246" s="1779"/>
      <c r="E246" s="1780"/>
      <c r="F246" s="3011" t="s">
        <v>1430</v>
      </c>
      <c r="G246" s="3011"/>
      <c r="H246" s="3011"/>
      <c r="I246" s="3011"/>
      <c r="J246" s="3011"/>
      <c r="K246" s="3011"/>
      <c r="L246" s="3011"/>
      <c r="M246" s="422" t="e">
        <f>M29</f>
        <v>#REF!</v>
      </c>
    </row>
    <row r="247" spans="1:13" hidden="1" x14ac:dyDescent="0.2">
      <c r="A247" s="50" t="s">
        <v>120</v>
      </c>
      <c r="B247" s="372"/>
      <c r="C247" s="373" t="s">
        <v>312</v>
      </c>
      <c r="D247" s="374"/>
      <c r="E247" s="375" t="s">
        <v>922</v>
      </c>
      <c r="F247" s="376" t="s">
        <v>472</v>
      </c>
      <c r="G247" s="376">
        <v>755</v>
      </c>
      <c r="H247" s="375" t="s">
        <v>296</v>
      </c>
      <c r="I247" s="366">
        <f t="shared" ref="I247:I265" si="3">SUM(J247:M247)</f>
        <v>0</v>
      </c>
      <c r="J247" s="377"/>
      <c r="K247" s="377"/>
      <c r="L247" s="377"/>
      <c r="M247" s="377"/>
    </row>
    <row r="248" spans="1:13" ht="13.5" hidden="1" thickBot="1" x14ac:dyDescent="0.25">
      <c r="A248" s="56" t="s">
        <v>783</v>
      </c>
      <c r="B248" s="229"/>
      <c r="C248" s="230" t="s">
        <v>923</v>
      </c>
      <c r="D248" s="28"/>
      <c r="E248" s="14" t="s">
        <v>922</v>
      </c>
      <c r="F248" s="14" t="s">
        <v>472</v>
      </c>
      <c r="G248" s="14" t="s">
        <v>344</v>
      </c>
      <c r="H248" s="14" t="s">
        <v>345</v>
      </c>
      <c r="I248" s="341">
        <f t="shared" si="3"/>
        <v>0</v>
      </c>
      <c r="J248" s="338"/>
      <c r="K248" s="338"/>
      <c r="L248" s="338"/>
      <c r="M248" s="338"/>
    </row>
    <row r="249" spans="1:13" ht="21" hidden="1" customHeight="1" thickBot="1" x14ac:dyDescent="0.3">
      <c r="A249" s="220"/>
      <c r="B249" s="1412"/>
      <c r="C249" s="234" t="s">
        <v>348</v>
      </c>
      <c r="D249" s="232"/>
      <c r="E249" s="233"/>
      <c r="F249" s="233"/>
      <c r="G249" s="233"/>
      <c r="H249" s="233"/>
      <c r="I249" s="341">
        <f t="shared" si="3"/>
        <v>0</v>
      </c>
      <c r="J249" s="339"/>
      <c r="K249" s="339"/>
      <c r="L249" s="339"/>
      <c r="M249" s="339"/>
    </row>
    <row r="250" spans="1:13" hidden="1" x14ac:dyDescent="0.2">
      <c r="C250" t="s">
        <v>964</v>
      </c>
      <c r="I250" s="341">
        <f t="shared" si="3"/>
        <v>0</v>
      </c>
      <c r="J250" s="40"/>
      <c r="K250" s="40"/>
      <c r="L250" s="40"/>
      <c r="M250" s="40"/>
    </row>
    <row r="251" spans="1:13" hidden="1" x14ac:dyDescent="0.2">
      <c r="C251" s="29" t="s">
        <v>935</v>
      </c>
      <c r="D251" s="29"/>
      <c r="E251" s="29"/>
      <c r="F251" s="29"/>
      <c r="G251" s="29"/>
      <c r="H251" s="29"/>
      <c r="I251" s="341">
        <f t="shared" si="3"/>
        <v>0</v>
      </c>
      <c r="J251" s="29"/>
      <c r="K251" s="29"/>
      <c r="L251" s="29"/>
      <c r="M251" s="29"/>
    </row>
    <row r="252" spans="1:13" hidden="1" x14ac:dyDescent="0.2">
      <c r="C252" t="s">
        <v>963</v>
      </c>
      <c r="I252" s="341">
        <f t="shared" si="3"/>
        <v>0</v>
      </c>
    </row>
    <row r="253" spans="1:13" hidden="1" x14ac:dyDescent="0.2">
      <c r="C253" t="s">
        <v>934</v>
      </c>
      <c r="I253" s="341">
        <f t="shared" si="3"/>
        <v>0</v>
      </c>
    </row>
    <row r="254" spans="1:13" hidden="1" x14ac:dyDescent="0.2">
      <c r="C254" t="s">
        <v>933</v>
      </c>
      <c r="I254" s="341">
        <f t="shared" si="3"/>
        <v>0</v>
      </c>
    </row>
    <row r="255" spans="1:13" hidden="1" x14ac:dyDescent="0.2">
      <c r="I255" s="341">
        <f t="shared" si="3"/>
        <v>0</v>
      </c>
    </row>
    <row r="256" spans="1:13" hidden="1" x14ac:dyDescent="0.2">
      <c r="C256" s="180" t="s">
        <v>938</v>
      </c>
      <c r="D256" s="142"/>
      <c r="E256" s="142"/>
      <c r="F256" s="142"/>
      <c r="G256" s="142"/>
      <c r="H256" s="142"/>
      <c r="I256" s="341">
        <f t="shared" si="3"/>
        <v>0</v>
      </c>
      <c r="J256" s="142"/>
      <c r="K256" s="142"/>
      <c r="L256" s="142"/>
      <c r="M256" s="142"/>
    </row>
    <row r="257" spans="2:13" hidden="1" x14ac:dyDescent="0.2">
      <c r="C257" s="176" t="s">
        <v>936</v>
      </c>
      <c r="D257" s="40"/>
      <c r="E257" s="40"/>
      <c r="F257" s="40" t="e">
        <f>#REF!-#REF!</f>
        <v>#REF!</v>
      </c>
      <c r="G257" s="40"/>
      <c r="H257" s="40"/>
      <c r="I257" s="341">
        <f t="shared" si="3"/>
        <v>0</v>
      </c>
      <c r="J257" s="40"/>
      <c r="K257" s="40"/>
      <c r="L257" s="40"/>
      <c r="M257" s="40"/>
    </row>
    <row r="258" spans="2:13" ht="13.5" hidden="1" thickBot="1" x14ac:dyDescent="0.25">
      <c r="C258" s="177" t="s">
        <v>932</v>
      </c>
      <c r="D258" s="178"/>
      <c r="E258" s="178"/>
      <c r="F258" s="40" t="e">
        <f>#REF!-#REF!</f>
        <v>#REF!</v>
      </c>
      <c r="G258" s="178"/>
      <c r="H258" s="178"/>
      <c r="I258" s="341">
        <f t="shared" si="3"/>
        <v>0</v>
      </c>
      <c r="J258" s="178"/>
      <c r="K258" s="178"/>
      <c r="L258" s="178"/>
      <c r="M258" s="178"/>
    </row>
    <row r="259" spans="2:13" hidden="1" x14ac:dyDescent="0.2">
      <c r="C259" s="180" t="s">
        <v>937</v>
      </c>
      <c r="D259" s="142"/>
      <c r="E259" s="142"/>
      <c r="F259" s="142"/>
      <c r="G259" s="142"/>
      <c r="H259" s="142"/>
      <c r="I259" s="341">
        <f t="shared" si="3"/>
        <v>0</v>
      </c>
      <c r="J259" s="142"/>
      <c r="K259" s="142"/>
      <c r="L259" s="142"/>
      <c r="M259" s="142"/>
    </row>
    <row r="260" spans="2:13" hidden="1" x14ac:dyDescent="0.2">
      <c r="C260" s="176" t="s">
        <v>936</v>
      </c>
      <c r="D260" s="40"/>
      <c r="E260" s="40"/>
      <c r="F260" s="174" t="e">
        <f>#REF!-#REF!</f>
        <v>#REF!</v>
      </c>
      <c r="G260" s="40"/>
      <c r="H260" s="40"/>
      <c r="I260" s="341">
        <f t="shared" si="3"/>
        <v>0</v>
      </c>
      <c r="J260" s="174"/>
      <c r="K260" s="174"/>
      <c r="L260" s="174"/>
      <c r="M260" s="174"/>
    </row>
    <row r="261" spans="2:13" ht="13.5" hidden="1" thickBot="1" x14ac:dyDescent="0.25">
      <c r="C261" s="177" t="s">
        <v>932</v>
      </c>
      <c r="D261" s="178"/>
      <c r="E261" s="178"/>
      <c r="F261" s="179" t="e">
        <f>#REF!-#REF!</f>
        <v>#REF!</v>
      </c>
      <c r="G261" s="178"/>
      <c r="H261" s="178"/>
      <c r="I261" s="341">
        <f t="shared" si="3"/>
        <v>0</v>
      </c>
      <c r="J261" s="179"/>
      <c r="K261" s="179"/>
      <c r="L261" s="179"/>
      <c r="M261" s="179"/>
    </row>
    <row r="262" spans="2:13" hidden="1" x14ac:dyDescent="0.2">
      <c r="I262" s="341">
        <f t="shared" si="3"/>
        <v>0</v>
      </c>
      <c r="J262" s="175"/>
      <c r="K262" s="175"/>
      <c r="L262" s="175"/>
      <c r="M262" s="175"/>
    </row>
    <row r="263" spans="2:13" hidden="1" x14ac:dyDescent="0.2">
      <c r="C263" t="s">
        <v>369</v>
      </c>
      <c r="I263" s="341">
        <f t="shared" si="3"/>
        <v>0</v>
      </c>
    </row>
    <row r="264" spans="2:13" hidden="1" x14ac:dyDescent="0.2">
      <c r="C264" t="s">
        <v>370</v>
      </c>
      <c r="I264" s="341">
        <f t="shared" si="3"/>
        <v>0</v>
      </c>
    </row>
    <row r="265" spans="2:13" hidden="1" x14ac:dyDescent="0.2">
      <c r="C265" t="s">
        <v>371</v>
      </c>
      <c r="I265" s="421">
        <f t="shared" si="3"/>
        <v>0</v>
      </c>
    </row>
    <row r="266" spans="2:13" x14ac:dyDescent="0.2">
      <c r="B266" s="1414"/>
      <c r="C266" s="40"/>
      <c r="D266" s="40"/>
      <c r="E266" s="40"/>
      <c r="F266" s="40"/>
      <c r="G266" s="40"/>
      <c r="H266" s="40"/>
      <c r="I266" s="419"/>
      <c r="J266" s="40"/>
      <c r="K266" s="40"/>
      <c r="L266" s="40"/>
      <c r="M266" s="40"/>
    </row>
  </sheetData>
  <mergeCells count="18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3:I13"/>
    <mergeCell ref="B10:I10"/>
    <mergeCell ref="B11:I11"/>
    <mergeCell ref="F246:L246"/>
    <mergeCell ref="B15:I15"/>
    <mergeCell ref="C16:I16"/>
    <mergeCell ref="F245:L245"/>
    <mergeCell ref="B14:I14"/>
    <mergeCell ref="B12:I12"/>
  </mergeCells>
  <pageMargins left="0.53" right="0.24" top="0.71" bottom="0.61" header="0.17" footer="0.3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view="pageBreakPreview" topLeftCell="B6" zoomScaleNormal="100" zoomScaleSheetLayoutView="100" workbookViewId="0">
      <selection activeCell="B21" sqref="B21:I21"/>
    </sheetView>
  </sheetViews>
  <sheetFormatPr defaultRowHeight="12.75" x14ac:dyDescent="0.2"/>
  <cols>
    <col min="1" max="1" width="7.7109375" hidden="1" customWidth="1"/>
    <col min="2" max="2" width="7" style="1413" customWidth="1"/>
    <col min="3" max="3" width="49.28515625" customWidth="1"/>
    <col min="4" max="4" width="7.5703125" customWidth="1"/>
    <col min="6" max="6" width="9.140625" customWidth="1"/>
    <col min="7" max="7" width="5.28515625" customWidth="1"/>
    <col min="8" max="8" width="8.5703125" hidden="1" customWidth="1"/>
    <col min="9" max="9" width="9.28515625" customWidth="1"/>
    <col min="10" max="10" width="7.140625" hidden="1" customWidth="1"/>
    <col min="11" max="11" width="8.42578125" hidden="1" customWidth="1"/>
    <col min="12" max="12" width="9.28515625" hidden="1" customWidth="1"/>
    <col min="13" max="13" width="8" hidden="1" customWidth="1"/>
    <col min="14" max="14" width="0" hidden="1" customWidth="1"/>
  </cols>
  <sheetData>
    <row r="1" spans="1:13" ht="15.75" hidden="1" customHeight="1" x14ac:dyDescent="0.25">
      <c r="B1" s="3004" t="s">
        <v>35</v>
      </c>
      <c r="C1" s="3004"/>
      <c r="D1" s="3004"/>
      <c r="E1" s="3004"/>
      <c r="F1" s="3004"/>
      <c r="G1" s="3004"/>
      <c r="H1" s="3004"/>
      <c r="I1" s="3004"/>
      <c r="J1" s="17"/>
      <c r="K1" s="17"/>
      <c r="L1" s="17"/>
      <c r="M1" s="17"/>
    </row>
    <row r="2" spans="1:13" ht="15.75" hidden="1" customHeight="1" x14ac:dyDescent="0.3">
      <c r="B2" s="3000" t="s">
        <v>93</v>
      </c>
      <c r="C2" s="3000"/>
      <c r="D2" s="3000"/>
      <c r="E2" s="3000"/>
      <c r="F2" s="3000"/>
      <c r="G2" s="3000"/>
      <c r="H2" s="3000"/>
      <c r="I2" s="3000"/>
      <c r="J2" s="17"/>
      <c r="K2" s="17"/>
      <c r="L2" s="17"/>
      <c r="M2" s="17"/>
    </row>
    <row r="3" spans="1:13" ht="15.75" hidden="1" customHeight="1" x14ac:dyDescent="0.3">
      <c r="B3" s="3015" t="s">
        <v>792</v>
      </c>
      <c r="C3" s="3016"/>
      <c r="D3" s="3016"/>
      <c r="E3" s="3016"/>
      <c r="F3" s="3016"/>
      <c r="G3" s="3016"/>
      <c r="H3" s="3016"/>
      <c r="I3" s="3016"/>
      <c r="J3" s="17"/>
      <c r="K3" s="17"/>
      <c r="L3" s="17"/>
      <c r="M3" s="17"/>
    </row>
    <row r="4" spans="1:13" ht="15.75" hidden="1" x14ac:dyDescent="0.25">
      <c r="B4" s="3014" t="str">
        <f>Бюд.р.!D115</f>
        <v>№ 02-03-01 от 12.01.2015</v>
      </c>
      <c r="C4" s="3014"/>
      <c r="D4" s="3014"/>
      <c r="E4" s="3014"/>
      <c r="F4" s="3014"/>
      <c r="G4" s="3014"/>
      <c r="H4" s="3014"/>
      <c r="I4" s="3014"/>
      <c r="J4" s="17"/>
      <c r="K4" s="17"/>
      <c r="L4" s="17"/>
      <c r="M4" s="17"/>
    </row>
    <row r="5" spans="1:13" ht="15.75" hidden="1" x14ac:dyDescent="0.25">
      <c r="B5" s="3019" t="str">
        <f>Бюд.р.!D117</f>
        <v>№ 02-03-03 от 30.01.2015</v>
      </c>
      <c r="C5" s="3019"/>
      <c r="D5" s="3019"/>
      <c r="E5" s="3019"/>
      <c r="F5" s="3019"/>
      <c r="G5" s="3019"/>
      <c r="H5" s="3019"/>
      <c r="I5" s="3019"/>
      <c r="J5" s="17"/>
      <c r="K5" s="17"/>
      <c r="L5" s="17"/>
      <c r="M5" s="17"/>
    </row>
    <row r="6" spans="1:13" ht="15.75" x14ac:dyDescent="0.25">
      <c r="B6" s="3020"/>
      <c r="C6" s="3020"/>
      <c r="D6" s="3017" t="s">
        <v>194</v>
      </c>
      <c r="E6" s="3017"/>
      <c r="F6" s="3017"/>
      <c r="G6" s="3017"/>
      <c r="H6" s="3017"/>
      <c r="I6" s="3017"/>
      <c r="J6" s="17"/>
      <c r="K6" s="17"/>
      <c r="L6" s="17"/>
      <c r="M6" s="17"/>
    </row>
    <row r="7" spans="1:13" ht="13.5" customHeight="1" x14ac:dyDescent="0.25">
      <c r="B7" s="3017" t="s">
        <v>470</v>
      </c>
      <c r="C7" s="3017"/>
      <c r="D7" s="3017"/>
      <c r="E7" s="3017"/>
      <c r="F7" s="3017"/>
      <c r="G7" s="3017"/>
      <c r="H7" s="3017"/>
      <c r="I7" s="3017"/>
      <c r="J7" s="17"/>
      <c r="K7" s="17"/>
      <c r="L7" s="17"/>
      <c r="M7" s="17"/>
    </row>
    <row r="8" spans="1:13" ht="15" customHeight="1" x14ac:dyDescent="0.3">
      <c r="A8" s="181"/>
      <c r="B8" s="1016"/>
      <c r="C8" s="3017" t="s">
        <v>1544</v>
      </c>
      <c r="D8" s="3018"/>
      <c r="E8" s="3018"/>
      <c r="F8" s="3018"/>
      <c r="G8" s="3018"/>
      <c r="H8" s="3018"/>
      <c r="I8" s="3018"/>
      <c r="J8" s="181"/>
      <c r="K8" s="181"/>
      <c r="L8" s="181"/>
      <c r="M8" s="181"/>
    </row>
    <row r="9" spans="1:13" ht="13.5" customHeight="1" x14ac:dyDescent="0.3">
      <c r="A9" s="181"/>
      <c r="B9" s="1016"/>
      <c r="C9" s="3017" t="s">
        <v>1556</v>
      </c>
      <c r="D9" s="3018"/>
      <c r="E9" s="3018"/>
      <c r="F9" s="3018"/>
      <c r="G9" s="3018"/>
      <c r="H9" s="3018"/>
      <c r="I9" s="3018"/>
      <c r="J9" s="181"/>
      <c r="K9" s="181"/>
      <c r="L9" s="181"/>
      <c r="M9" s="181"/>
    </row>
    <row r="10" spans="1:13" ht="13.5" customHeight="1" x14ac:dyDescent="0.3">
      <c r="A10" s="181"/>
      <c r="B10" s="1016"/>
      <c r="C10" s="3017" t="s">
        <v>470</v>
      </c>
      <c r="D10" s="3017"/>
      <c r="E10" s="3017"/>
      <c r="F10" s="3017"/>
      <c r="G10" s="3017"/>
      <c r="H10" s="3017"/>
      <c r="I10" s="3017"/>
      <c r="J10" s="3017"/>
      <c r="K10" s="181"/>
      <c r="L10" s="181"/>
      <c r="M10" s="181"/>
    </row>
    <row r="11" spans="1:13" ht="12" customHeight="1" x14ac:dyDescent="0.3">
      <c r="A11" s="181"/>
      <c r="B11" s="1016"/>
      <c r="C11" s="1016"/>
      <c r="D11" s="3017" t="s">
        <v>1579</v>
      </c>
      <c r="E11" s="3018"/>
      <c r="F11" s="3018"/>
      <c r="G11" s="3018"/>
      <c r="H11" s="3018"/>
      <c r="I11" s="3018"/>
      <c r="J11" s="3018"/>
      <c r="K11" s="181"/>
      <c r="L11" s="181"/>
      <c r="M11" s="181"/>
    </row>
    <row r="12" spans="1:13" ht="14.25" customHeight="1" x14ac:dyDescent="0.3">
      <c r="A12" s="181"/>
      <c r="B12" s="1016"/>
      <c r="C12" s="3017" t="s">
        <v>194</v>
      </c>
      <c r="D12" s="3018"/>
      <c r="E12" s="3018"/>
      <c r="F12" s="3018"/>
      <c r="G12" s="3018"/>
      <c r="H12" s="3018"/>
      <c r="I12" s="3018"/>
      <c r="J12" s="2913"/>
      <c r="K12" s="181"/>
      <c r="L12" s="181"/>
      <c r="M12" s="181"/>
    </row>
    <row r="13" spans="1:13" ht="14.25" customHeight="1" x14ac:dyDescent="0.3">
      <c r="A13" s="181"/>
      <c r="B13" s="1016"/>
      <c r="C13" s="3017" t="s">
        <v>470</v>
      </c>
      <c r="D13" s="3017"/>
      <c r="E13" s="3017"/>
      <c r="F13" s="3017"/>
      <c r="G13" s="3017"/>
      <c r="H13" s="3017"/>
      <c r="I13" s="3017"/>
      <c r="J13" s="3017"/>
      <c r="K13" s="181"/>
      <c r="L13" s="181"/>
      <c r="M13" s="181"/>
    </row>
    <row r="14" spans="1:13" ht="12.75" customHeight="1" x14ac:dyDescent="0.3">
      <c r="A14" s="181"/>
      <c r="B14" s="1016"/>
      <c r="C14" s="1016"/>
      <c r="D14" s="3017" t="s">
        <v>1598</v>
      </c>
      <c r="E14" s="3018"/>
      <c r="F14" s="3018"/>
      <c r="G14" s="3018"/>
      <c r="H14" s="3018"/>
      <c r="I14" s="3018"/>
      <c r="J14" s="3018"/>
      <c r="K14" s="181"/>
      <c r="L14" s="181"/>
      <c r="M14" s="181"/>
    </row>
    <row r="15" spans="1:13" ht="12.75" customHeight="1" x14ac:dyDescent="0.3">
      <c r="A15" s="181"/>
      <c r="B15" s="1016"/>
      <c r="C15" s="3017" t="s">
        <v>194</v>
      </c>
      <c r="D15" s="3018"/>
      <c r="E15" s="3018"/>
      <c r="F15" s="3018"/>
      <c r="G15" s="3018"/>
      <c r="H15" s="3018"/>
      <c r="I15" s="3018"/>
      <c r="J15" s="2913"/>
      <c r="K15" s="181"/>
      <c r="L15" s="181"/>
      <c r="M15" s="181"/>
    </row>
    <row r="16" spans="1:13" ht="12.75" customHeight="1" x14ac:dyDescent="0.3">
      <c r="A16" s="181"/>
      <c r="B16" s="1016"/>
      <c r="C16" s="3017" t="s">
        <v>470</v>
      </c>
      <c r="D16" s="3017"/>
      <c r="E16" s="3017"/>
      <c r="F16" s="3017"/>
      <c r="G16" s="3017"/>
      <c r="H16" s="3017"/>
      <c r="I16" s="3017"/>
      <c r="J16" s="3017"/>
      <c r="K16" s="181"/>
      <c r="L16" s="181"/>
      <c r="M16" s="181"/>
    </row>
    <row r="17" spans="1:13" ht="12.75" customHeight="1" x14ac:dyDescent="0.3">
      <c r="A17" s="181"/>
      <c r="B17" s="1016"/>
      <c r="C17" s="1016"/>
      <c r="D17" s="3017" t="s">
        <v>1611</v>
      </c>
      <c r="E17" s="3018"/>
      <c r="F17" s="3018"/>
      <c r="G17" s="3018"/>
      <c r="H17" s="3018"/>
      <c r="I17" s="3018"/>
      <c r="J17" s="3018"/>
      <c r="K17" s="181"/>
      <c r="L17" s="181"/>
      <c r="M17" s="181"/>
    </row>
    <row r="18" spans="1:13" ht="12.75" customHeight="1" x14ac:dyDescent="0.3">
      <c r="A18" s="181"/>
      <c r="B18" s="1016"/>
      <c r="C18" s="3017" t="s">
        <v>194</v>
      </c>
      <c r="D18" s="3018"/>
      <c r="E18" s="3018"/>
      <c r="F18" s="3018"/>
      <c r="G18" s="3018"/>
      <c r="H18" s="3018"/>
      <c r="I18" s="3018"/>
      <c r="J18" s="2913"/>
      <c r="K18" s="181"/>
      <c r="L18" s="181"/>
      <c r="M18" s="181"/>
    </row>
    <row r="19" spans="1:13" ht="12.75" customHeight="1" x14ac:dyDescent="0.3">
      <c r="A19" s="181"/>
      <c r="B19" s="1016"/>
      <c r="C19" s="3017" t="s">
        <v>470</v>
      </c>
      <c r="D19" s="3017"/>
      <c r="E19" s="3017"/>
      <c r="F19" s="3017"/>
      <c r="G19" s="3017"/>
      <c r="H19" s="3017"/>
      <c r="I19" s="3017"/>
      <c r="J19" s="3017"/>
      <c r="K19" s="181"/>
      <c r="L19" s="181"/>
      <c r="M19" s="181"/>
    </row>
    <row r="20" spans="1:13" ht="12.75" customHeight="1" x14ac:dyDescent="0.3">
      <c r="A20" s="181"/>
      <c r="B20" s="1016"/>
      <c r="C20" s="1016"/>
      <c r="D20" s="3017" t="s">
        <v>1620</v>
      </c>
      <c r="E20" s="3018"/>
      <c r="F20" s="3018"/>
      <c r="G20" s="3018"/>
      <c r="H20" s="3018"/>
      <c r="I20" s="3018"/>
      <c r="J20" s="3018"/>
      <c r="K20" s="181"/>
      <c r="L20" s="181"/>
      <c r="M20" s="181"/>
    </row>
    <row r="21" spans="1:13" ht="36" customHeight="1" x14ac:dyDescent="0.3">
      <c r="A21" s="181"/>
      <c r="B21" s="3021" t="s">
        <v>92</v>
      </c>
      <c r="C21" s="3021"/>
      <c r="D21" s="3021"/>
      <c r="E21" s="3021"/>
      <c r="F21" s="3021"/>
      <c r="G21" s="3021"/>
      <c r="H21" s="3021"/>
      <c r="I21" s="3021"/>
      <c r="J21" s="181"/>
      <c r="K21" s="181"/>
      <c r="L21" s="181"/>
      <c r="M21" s="181"/>
    </row>
    <row r="22" spans="1:13" ht="15.75" customHeight="1" x14ac:dyDescent="0.3">
      <c r="A22" s="181"/>
      <c r="B22" s="3000" t="s">
        <v>1459</v>
      </c>
      <c r="C22" s="3000"/>
      <c r="D22" s="3000"/>
      <c r="E22" s="3000"/>
      <c r="F22" s="3000"/>
      <c r="G22" s="3000"/>
      <c r="H22" s="3000"/>
      <c r="I22" s="3000"/>
      <c r="J22" s="181"/>
      <c r="K22" s="181"/>
      <c r="L22" s="181"/>
      <c r="M22" s="181"/>
    </row>
    <row r="23" spans="1:13" ht="12.75" customHeight="1" thickBot="1" x14ac:dyDescent="0.35">
      <c r="A23" s="181"/>
      <c r="B23" s="181"/>
      <c r="C23" s="2999" t="s">
        <v>272</v>
      </c>
      <c r="D23" s="2999"/>
      <c r="E23" s="2999"/>
      <c r="F23" s="2999"/>
      <c r="G23" s="2999"/>
      <c r="H23" s="2999"/>
      <c r="I23" s="2999"/>
      <c r="J23" s="412"/>
      <c r="K23" s="412"/>
      <c r="L23" s="412"/>
      <c r="M23" s="412"/>
    </row>
    <row r="24" spans="1:13" ht="39.75" thickBot="1" x14ac:dyDescent="0.25">
      <c r="A24" s="62" t="s">
        <v>119</v>
      </c>
      <c r="B24" s="45" t="s">
        <v>955</v>
      </c>
      <c r="C24" s="26" t="s">
        <v>273</v>
      </c>
      <c r="D24" s="1463" t="s">
        <v>498</v>
      </c>
      <c r="E24" s="228" t="s">
        <v>286</v>
      </c>
      <c r="F24" s="228" t="s">
        <v>284</v>
      </c>
      <c r="G24" s="1464" t="s">
        <v>121</v>
      </c>
      <c r="H24" s="1460" t="s">
        <v>285</v>
      </c>
      <c r="I24" s="340" t="s">
        <v>322</v>
      </c>
      <c r="J24" s="343" t="s">
        <v>930</v>
      </c>
      <c r="K24" s="344" t="s">
        <v>931</v>
      </c>
      <c r="L24" s="344" t="s">
        <v>913</v>
      </c>
      <c r="M24" s="378" t="s">
        <v>914</v>
      </c>
    </row>
    <row r="25" spans="1:13" x14ac:dyDescent="0.2">
      <c r="A25" s="148">
        <v>1</v>
      </c>
      <c r="B25" s="392" t="s">
        <v>811</v>
      </c>
      <c r="C25" s="896">
        <v>2</v>
      </c>
      <c r="D25" s="1465" t="s">
        <v>526</v>
      </c>
      <c r="E25" s="227" t="s">
        <v>745</v>
      </c>
      <c r="F25" s="227" t="s">
        <v>349</v>
      </c>
      <c r="G25" s="1466" t="s">
        <v>350</v>
      </c>
      <c r="H25" s="1245" t="s">
        <v>350</v>
      </c>
      <c r="I25" s="414">
        <v>7</v>
      </c>
      <c r="J25" s="415">
        <v>8</v>
      </c>
      <c r="K25" s="416">
        <v>9</v>
      </c>
      <c r="L25" s="416">
        <v>10</v>
      </c>
      <c r="M25" s="417">
        <v>11</v>
      </c>
    </row>
    <row r="26" spans="1:13" ht="16.5" hidden="1" thickBot="1" x14ac:dyDescent="0.3">
      <c r="A26" s="191" t="s">
        <v>738</v>
      </c>
      <c r="B26" s="393"/>
      <c r="C26" s="897" t="s">
        <v>122</v>
      </c>
      <c r="D26" s="876"/>
      <c r="E26" s="221" t="s">
        <v>503</v>
      </c>
      <c r="F26" s="222"/>
      <c r="G26" s="877"/>
      <c r="H26" s="1246"/>
      <c r="I26" s="367"/>
      <c r="J26" s="355"/>
      <c r="K26" s="223"/>
      <c r="L26" s="223"/>
      <c r="M26" s="379"/>
    </row>
    <row r="27" spans="1:13" ht="40.5" hidden="1" customHeight="1" thickBot="1" x14ac:dyDescent="0.25">
      <c r="A27" s="192" t="s">
        <v>123</v>
      </c>
      <c r="B27" s="767"/>
      <c r="C27" s="1440" t="s">
        <v>855</v>
      </c>
      <c r="D27" s="1467"/>
      <c r="E27" s="768" t="s">
        <v>331</v>
      </c>
      <c r="F27" s="768"/>
      <c r="G27" s="1468"/>
      <c r="H27" s="1461"/>
      <c r="I27" s="769"/>
      <c r="J27" s="356"/>
      <c r="K27" s="345"/>
      <c r="L27" s="345"/>
      <c r="M27" s="380"/>
    </row>
    <row r="28" spans="1:13" ht="30.75" hidden="1" customHeight="1" thickBot="1" x14ac:dyDescent="0.25">
      <c r="A28" s="192"/>
      <c r="B28" s="1844" t="s">
        <v>811</v>
      </c>
      <c r="C28" s="1845" t="s">
        <v>1306</v>
      </c>
      <c r="D28" s="1846">
        <v>917</v>
      </c>
      <c r="E28" s="1847"/>
      <c r="F28" s="1847"/>
      <c r="G28" s="1848"/>
      <c r="H28" s="1849"/>
      <c r="I28" s="1850" t="e">
        <f>I29+I57</f>
        <v>#REF!</v>
      </c>
      <c r="J28" s="356"/>
      <c r="K28" s="345"/>
      <c r="L28" s="345"/>
      <c r="M28" s="380"/>
    </row>
    <row r="29" spans="1:13" ht="18.75" hidden="1" customHeight="1" thickBot="1" x14ac:dyDescent="0.25">
      <c r="A29" s="192"/>
      <c r="B29" s="1417" t="s">
        <v>738</v>
      </c>
      <c r="C29" s="1454" t="s">
        <v>122</v>
      </c>
      <c r="D29" s="1418">
        <v>917</v>
      </c>
      <c r="E29" s="1419" t="s">
        <v>511</v>
      </c>
      <c r="F29" s="1419"/>
      <c r="G29" s="1420"/>
      <c r="H29" s="1421"/>
      <c r="I29" s="1437" t="e">
        <f>#REF!+I30</f>
        <v>#REF!</v>
      </c>
      <c r="J29" s="356"/>
      <c r="K29" s="345"/>
      <c r="L29" s="345"/>
      <c r="M29" s="380"/>
    </row>
    <row r="30" spans="1:13" ht="27.75" hidden="1" customHeight="1" x14ac:dyDescent="0.2">
      <c r="A30" s="192"/>
      <c r="B30" s="1415" t="s">
        <v>811</v>
      </c>
      <c r="C30" s="1455" t="str">
        <f>Бюд.р.!A9</f>
        <v>Обеспечение проведения выборов и референдумов</v>
      </c>
      <c r="D30" s="1342">
        <v>917</v>
      </c>
      <c r="E30" s="1356" t="s">
        <v>1319</v>
      </c>
      <c r="F30" s="1356"/>
      <c r="G30" s="1366"/>
      <c r="H30" s="1365"/>
      <c r="I30" s="1432">
        <f>I31</f>
        <v>0</v>
      </c>
      <c r="J30" s="356"/>
      <c r="K30" s="345"/>
      <c r="L30" s="345"/>
      <c r="M30" s="380"/>
    </row>
    <row r="31" spans="1:13" ht="14.25" hidden="1" customHeight="1" x14ac:dyDescent="0.2">
      <c r="A31" s="192"/>
      <c r="B31" s="1396" t="s">
        <v>299</v>
      </c>
      <c r="C31" s="1441" t="s">
        <v>1317</v>
      </c>
      <c r="D31" s="1306">
        <v>917</v>
      </c>
      <c r="E31" s="1307" t="s">
        <v>1319</v>
      </c>
      <c r="F31" s="1307" t="str">
        <f>Бюд.р.!D10</f>
        <v>020 01 00</v>
      </c>
      <c r="G31" s="1308"/>
      <c r="H31" s="1309"/>
      <c r="I31" s="1426">
        <f>I32+I35</f>
        <v>0</v>
      </c>
      <c r="J31" s="356"/>
      <c r="K31" s="345"/>
      <c r="L31" s="345"/>
      <c r="M31" s="380"/>
    </row>
    <row r="32" spans="1:13" ht="25.5" hidden="1" customHeight="1" x14ac:dyDescent="0.2">
      <c r="A32" s="192"/>
      <c r="B32" s="1396" t="s">
        <v>299</v>
      </c>
      <c r="C32" s="1441" t="str">
        <f>Бюд.р.!A11</f>
        <v>Проведение выборов в представительные органы муниципального образования</v>
      </c>
      <c r="D32" s="1306">
        <v>917</v>
      </c>
      <c r="E32" s="1307" t="s">
        <v>1319</v>
      </c>
      <c r="F32" s="1307" t="str">
        <f>Бюд.р.!D11</f>
        <v>020 01 01</v>
      </c>
      <c r="G32" s="1308"/>
      <c r="H32" s="1309"/>
      <c r="I32" s="1426">
        <f>SUM(I33:I34)</f>
        <v>0</v>
      </c>
      <c r="J32" s="356"/>
      <c r="K32" s="345"/>
      <c r="L32" s="345"/>
      <c r="M32" s="380"/>
    </row>
    <row r="33" spans="1:13" ht="45" hidden="1" customHeight="1" x14ac:dyDescent="0.2">
      <c r="A33" s="192"/>
      <c r="B33" s="1397" t="s">
        <v>212</v>
      </c>
      <c r="C33" s="1352" t="str">
        <f>Бюд.р.!A12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3" s="1310">
        <v>917</v>
      </c>
      <c r="E33" s="1311" t="s">
        <v>1319</v>
      </c>
      <c r="F33" s="1311" t="str">
        <f>Бюд.р.!D13</f>
        <v>020 01 01</v>
      </c>
      <c r="G33" s="1312">
        <f>Бюд.р.!F12</f>
        <v>100</v>
      </c>
      <c r="H33" s="1313"/>
      <c r="I33" s="1427">
        <f>Бюд.р.!H12</f>
        <v>0</v>
      </c>
      <c r="J33" s="356"/>
      <c r="K33" s="345"/>
      <c r="L33" s="345"/>
      <c r="M33" s="380"/>
    </row>
    <row r="34" spans="1:13" ht="24" hidden="1" customHeight="1" x14ac:dyDescent="0.2">
      <c r="A34" s="192"/>
      <c r="B34" s="1397" t="s">
        <v>428</v>
      </c>
      <c r="C34" s="2701" t="str">
        <f>Бюд.р.!A15</f>
        <v>Закупка товаров, работ и услуг  для государственных (муниципальных) нужд</v>
      </c>
      <c r="D34" s="1311">
        <v>917</v>
      </c>
      <c r="E34" s="1311" t="s">
        <v>1319</v>
      </c>
      <c r="F34" s="1311" t="str">
        <f>Бюд.р.!D16</f>
        <v xml:space="preserve">020 01 01 </v>
      </c>
      <c r="G34" s="1311">
        <f>Бюд.р.!F15</f>
        <v>200</v>
      </c>
      <c r="H34" s="1311"/>
      <c r="I34" s="1823">
        <f>Бюд.р.!H15</f>
        <v>0</v>
      </c>
      <c r="J34" s="356"/>
      <c r="K34" s="345"/>
      <c r="L34" s="345"/>
      <c r="M34" s="380"/>
    </row>
    <row r="35" spans="1:13" ht="24.75" hidden="1" customHeight="1" x14ac:dyDescent="0.2">
      <c r="A35" s="192"/>
      <c r="B35" s="2703" t="s">
        <v>287</v>
      </c>
      <c r="C35" s="2702" t="str">
        <f>Бюд.р.!A26</f>
        <v>Повышение правовой культуры избирателей и обучение организаторов выборов</v>
      </c>
      <c r="D35" s="1306">
        <v>917</v>
      </c>
      <c r="E35" s="1307" t="s">
        <v>1319</v>
      </c>
      <c r="F35" s="1824" t="str">
        <f>Бюд.р.!D26</f>
        <v>020 01 03</v>
      </c>
      <c r="G35" s="1824"/>
      <c r="H35" s="1824"/>
      <c r="I35" s="1825">
        <f>I36</f>
        <v>0</v>
      </c>
      <c r="J35" s="356"/>
      <c r="K35" s="345"/>
      <c r="L35" s="345"/>
      <c r="M35" s="380"/>
    </row>
    <row r="36" spans="1:13" ht="22.5" hidden="1" customHeight="1" x14ac:dyDescent="0.2">
      <c r="A36" s="192"/>
      <c r="B36" s="1397" t="s">
        <v>812</v>
      </c>
      <c r="C36" s="2701" t="str">
        <f>Бюд.р.!A27</f>
        <v>Закупка товаров, работ и услуг  для государственных (муниципальных) нужд</v>
      </c>
      <c r="D36" s="1311">
        <v>917</v>
      </c>
      <c r="E36" s="1311" t="s">
        <v>1319</v>
      </c>
      <c r="F36" s="1311" t="str">
        <f>Бюд.р.!D28</f>
        <v>020 01 03</v>
      </c>
      <c r="G36" s="1311">
        <f>Бюд.р.!F27</f>
        <v>200</v>
      </c>
      <c r="H36" s="1311"/>
      <c r="I36" s="1823">
        <f>Бюд.р.!H27</f>
        <v>0</v>
      </c>
      <c r="J36" s="356"/>
      <c r="K36" s="345"/>
      <c r="L36" s="345"/>
      <c r="M36" s="380"/>
    </row>
    <row r="37" spans="1:13" ht="23.25" customHeight="1" thickBot="1" x14ac:dyDescent="0.25">
      <c r="A37" s="192"/>
      <c r="B37" s="1851"/>
      <c r="C37" s="1852" t="s">
        <v>102</v>
      </c>
      <c r="D37" s="1853" t="s">
        <v>103</v>
      </c>
      <c r="E37" s="1854"/>
      <c r="F37" s="1854"/>
      <c r="G37" s="1855"/>
      <c r="H37" s="1856"/>
      <c r="I37" s="1857">
        <f>I38</f>
        <v>4378.8</v>
      </c>
      <c r="J37" s="357" t="e">
        <f>J38+#REF!+#REF!+#REF!+#REF!+#REF!+#REF!+#REF!</f>
        <v>#REF!</v>
      </c>
      <c r="K37" s="348" t="e">
        <f>K38+#REF!+#REF!+#REF!+#REF!+#REF!+#REF!+#REF!</f>
        <v>#REF!</v>
      </c>
      <c r="L37" s="348" t="e">
        <f>L38+#REF!+#REF!+#REF!+#REF!+#REF!+#REF!+#REF!</f>
        <v>#REF!</v>
      </c>
      <c r="M37" s="381" t="e">
        <f>M38+#REF!+#REF!+#REF!+#REF!+#REF!+#REF!+#REF!</f>
        <v>#REF!</v>
      </c>
    </row>
    <row r="38" spans="1:13" ht="14.25" customHeight="1" thickBot="1" x14ac:dyDescent="0.25">
      <c r="A38" s="192"/>
      <c r="B38" s="2826" t="s">
        <v>811</v>
      </c>
      <c r="C38" s="2827" t="s">
        <v>122</v>
      </c>
      <c r="D38" s="2828" t="s">
        <v>103</v>
      </c>
      <c r="E38" s="2829" t="s">
        <v>511</v>
      </c>
      <c r="F38" s="2829"/>
      <c r="G38" s="2830"/>
      <c r="H38" s="2831"/>
      <c r="I38" s="2832">
        <f>I39+I42+I62</f>
        <v>4378.8</v>
      </c>
      <c r="J38" s="365" t="e">
        <f>J39+J42+#REF!+#REF!</f>
        <v>#REF!</v>
      </c>
      <c r="K38" s="349" t="e">
        <f>K39+K42+#REF!+#REF!</f>
        <v>#REF!</v>
      </c>
      <c r="L38" s="349" t="e">
        <f>L39+L42+#REF!+#REF!</f>
        <v>#REF!</v>
      </c>
      <c r="M38" s="388" t="e">
        <f>M39+M42+#REF!+#REF!</f>
        <v>#REF!</v>
      </c>
    </row>
    <row r="39" spans="1:13" ht="37.5" customHeight="1" x14ac:dyDescent="0.2">
      <c r="A39" s="192"/>
      <c r="B39" s="2833" t="s">
        <v>628</v>
      </c>
      <c r="C39" s="2834" t="s">
        <v>152</v>
      </c>
      <c r="D39" s="2835" t="s">
        <v>103</v>
      </c>
      <c r="E39" s="2836" t="s">
        <v>510</v>
      </c>
      <c r="F39" s="2836"/>
      <c r="G39" s="2837"/>
      <c r="H39" s="2838"/>
      <c r="I39" s="2839">
        <f>I40</f>
        <v>1117.634</v>
      </c>
      <c r="J39" s="358">
        <f t="shared" ref="J39:M40" si="0">J40</f>
        <v>164.7</v>
      </c>
      <c r="K39" s="152">
        <f t="shared" si="0"/>
        <v>164.8</v>
      </c>
      <c r="L39" s="152">
        <f t="shared" si="0"/>
        <v>164.7</v>
      </c>
      <c r="M39" s="382">
        <f t="shared" si="0"/>
        <v>164.7</v>
      </c>
    </row>
    <row r="40" spans="1:13" ht="14.25" customHeight="1" x14ac:dyDescent="0.2">
      <c r="A40" s="193" t="s">
        <v>299</v>
      </c>
      <c r="B40" s="1398" t="s">
        <v>212</v>
      </c>
      <c r="C40" s="1441" t="str">
        <f>Бюд.р.!A60</f>
        <v>ГЛАВА МУНИЦИПАЛЬНОГО ОБРАЗОВАНИЯ</v>
      </c>
      <c r="D40" s="1344" t="s">
        <v>103</v>
      </c>
      <c r="E40" s="1345" t="s">
        <v>510</v>
      </c>
      <c r="F40" s="1345" t="s">
        <v>514</v>
      </c>
      <c r="G40" s="1346"/>
      <c r="H40" s="1357"/>
      <c r="I40" s="1433">
        <f>I41</f>
        <v>1117.634</v>
      </c>
      <c r="J40" s="359">
        <f t="shared" si="0"/>
        <v>164.7</v>
      </c>
      <c r="K40" s="186">
        <f t="shared" si="0"/>
        <v>164.8</v>
      </c>
      <c r="L40" s="186">
        <f t="shared" si="0"/>
        <v>164.7</v>
      </c>
      <c r="M40" s="383">
        <f t="shared" si="0"/>
        <v>164.7</v>
      </c>
    </row>
    <row r="41" spans="1:13" ht="45.75" customHeight="1" x14ac:dyDescent="0.2">
      <c r="A41" s="194" t="s">
        <v>212</v>
      </c>
      <c r="B41" s="1397" t="s">
        <v>215</v>
      </c>
      <c r="C41" s="1352" t="str">
        <f>Бюд.р.!A61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1" s="1310" t="s">
        <v>103</v>
      </c>
      <c r="E41" s="1311" t="s">
        <v>510</v>
      </c>
      <c r="F41" s="1311" t="s">
        <v>514</v>
      </c>
      <c r="G41" s="1312">
        <f>Бюд.р.!F61</f>
        <v>100</v>
      </c>
      <c r="H41" s="1313"/>
      <c r="I41" s="1427">
        <f>Бюд.р.!H61</f>
        <v>1117.634</v>
      </c>
      <c r="J41" s="360">
        <v>164.7</v>
      </c>
      <c r="K41" s="189">
        <v>164.8</v>
      </c>
      <c r="L41" s="189">
        <v>164.7</v>
      </c>
      <c r="M41" s="384">
        <v>164.7</v>
      </c>
    </row>
    <row r="42" spans="1:13" ht="52.5" customHeight="1" x14ac:dyDescent="0.2">
      <c r="A42" s="192"/>
      <c r="B42" s="2833" t="s">
        <v>1462</v>
      </c>
      <c r="C42" s="2840" t="s">
        <v>1050</v>
      </c>
      <c r="D42" s="2841" t="s">
        <v>103</v>
      </c>
      <c r="E42" s="2461" t="s">
        <v>528</v>
      </c>
      <c r="F42" s="2461"/>
      <c r="G42" s="2842"/>
      <c r="H42" s="2843"/>
      <c r="I42" s="2463">
        <f>I43+I58</f>
        <v>3261.1660000000002</v>
      </c>
      <c r="J42" s="358" t="e">
        <f>#REF!+J43</f>
        <v>#REF!</v>
      </c>
      <c r="K42" s="152" t="e">
        <f>#REF!+K43</f>
        <v>#REF!</v>
      </c>
      <c r="L42" s="152" t="e">
        <f>#REF!+L43</f>
        <v>#REF!</v>
      </c>
      <c r="M42" s="382" t="e">
        <f>#REF!+M43</f>
        <v>#REF!</v>
      </c>
    </row>
    <row r="43" spans="1:13" ht="28.5" customHeight="1" x14ac:dyDescent="0.2">
      <c r="A43" s="193"/>
      <c r="B43" s="1398" t="s">
        <v>812</v>
      </c>
      <c r="C43" s="1445" t="s">
        <v>532</v>
      </c>
      <c r="D43" s="1372">
        <v>925</v>
      </c>
      <c r="E43" s="1864" t="s">
        <v>528</v>
      </c>
      <c r="F43" s="1481" t="s">
        <v>63</v>
      </c>
      <c r="G43" s="1476"/>
      <c r="H43" s="1357"/>
      <c r="I43" s="1433">
        <f>I44+I46</f>
        <v>1225.6399999999999</v>
      </c>
      <c r="J43" s="359">
        <f>J44+J46</f>
        <v>175.2</v>
      </c>
      <c r="K43" s="186">
        <f>K44+K46</f>
        <v>175</v>
      </c>
      <c r="L43" s="186">
        <f>L44+L46</f>
        <v>175.10000000000002</v>
      </c>
      <c r="M43" s="383">
        <f>M44+M46</f>
        <v>175</v>
      </c>
    </row>
    <row r="44" spans="1:13" ht="25.5" customHeight="1" x14ac:dyDescent="0.2">
      <c r="A44" s="193"/>
      <c r="B44" s="1398" t="s">
        <v>1383</v>
      </c>
      <c r="C44" s="1445" t="str">
        <f>Бюд.р.!A68</f>
        <v>ДЕПУТАТЫ, ОСУЩЕСТВЛЯЮЩИЕ СВОЮ ДЕЯТЕЛЬНОСТЬ НА ПОСТОЯННОЙ ОСНОВЕ</v>
      </c>
      <c r="D44" s="1372">
        <v>925</v>
      </c>
      <c r="E44" s="1864" t="s">
        <v>528</v>
      </c>
      <c r="F44" s="1348" t="s">
        <v>65</v>
      </c>
      <c r="G44" s="2865"/>
      <c r="H44" s="1357"/>
      <c r="I44" s="1433">
        <f>I45</f>
        <v>961.04</v>
      </c>
      <c r="J44" s="359">
        <f>J45</f>
        <v>138.4</v>
      </c>
      <c r="K44" s="186">
        <f>K45</f>
        <v>138.30000000000001</v>
      </c>
      <c r="L44" s="186">
        <f>L45</f>
        <v>138.4</v>
      </c>
      <c r="M44" s="383">
        <f>M45</f>
        <v>138.30000000000001</v>
      </c>
    </row>
    <row r="45" spans="1:13" ht="46.5" customHeight="1" x14ac:dyDescent="0.2">
      <c r="A45" s="193"/>
      <c r="B45" s="1397" t="s">
        <v>215</v>
      </c>
      <c r="C45" s="1352" t="str">
        <f>Бюд.р.!A69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5" s="1470">
        <v>925</v>
      </c>
      <c r="E45" s="1783" t="s">
        <v>528</v>
      </c>
      <c r="F45" s="1333" t="s">
        <v>65</v>
      </c>
      <c r="G45" s="1471">
        <f>Бюд.р.!F69</f>
        <v>100</v>
      </c>
      <c r="H45" s="1334"/>
      <c r="I45" s="1431">
        <f>Бюд.р.!H69</f>
        <v>961.04</v>
      </c>
      <c r="J45" s="360">
        <v>138.4</v>
      </c>
      <c r="K45" s="189">
        <v>138.30000000000001</v>
      </c>
      <c r="L45" s="189">
        <v>138.4</v>
      </c>
      <c r="M45" s="384">
        <v>138.30000000000001</v>
      </c>
    </row>
    <row r="46" spans="1:13" ht="25.5" customHeight="1" x14ac:dyDescent="0.2">
      <c r="A46" s="194" t="s">
        <v>108</v>
      </c>
      <c r="B46" s="1398" t="s">
        <v>1384</v>
      </c>
      <c r="C46" s="1445" t="str">
        <f>Бюд.р.!A77</f>
        <v>КОМПЕСАЦИЯ  ДЕПУТАТАМ, ОСУЩЕСТВЛЯЮЩИМ СВОИ ПОЛНОМОЧИЯ НА НЕПОСТОЯННОЙ ОСНОВЕ</v>
      </c>
      <c r="D46" s="1372">
        <v>925</v>
      </c>
      <c r="E46" s="1864" t="s">
        <v>528</v>
      </c>
      <c r="F46" s="1348" t="s">
        <v>67</v>
      </c>
      <c r="G46" s="1476"/>
      <c r="H46" s="1357"/>
      <c r="I46" s="1433">
        <f>I52</f>
        <v>264.60000000000002</v>
      </c>
      <c r="J46" s="359">
        <f>J52</f>
        <v>36.799999999999997</v>
      </c>
      <c r="K46" s="186">
        <f>K52</f>
        <v>36.700000000000003</v>
      </c>
      <c r="L46" s="186">
        <f>L52</f>
        <v>36.700000000000003</v>
      </c>
      <c r="M46" s="383">
        <f>M52</f>
        <v>36.700000000000003</v>
      </c>
    </row>
    <row r="47" spans="1:13" ht="25.5" hidden="1" x14ac:dyDescent="0.2">
      <c r="A47" s="195" t="s">
        <v>218</v>
      </c>
      <c r="B47" s="1400"/>
      <c r="C47" s="1448" t="s">
        <v>469</v>
      </c>
      <c r="D47" s="1472">
        <v>968</v>
      </c>
      <c r="E47" s="1782" t="s">
        <v>528</v>
      </c>
      <c r="F47" s="962" t="s">
        <v>67</v>
      </c>
      <c r="G47" s="1473">
        <v>500</v>
      </c>
      <c r="H47" s="1320" t="s">
        <v>295</v>
      </c>
      <c r="I47" s="1428"/>
      <c r="J47" s="360"/>
      <c r="K47" s="189"/>
      <c r="L47" s="189"/>
      <c r="M47" s="384"/>
    </row>
    <row r="48" spans="1:13" hidden="1" x14ac:dyDescent="0.2">
      <c r="A48" s="196" t="s">
        <v>220</v>
      </c>
      <c r="B48" s="1397"/>
      <c r="C48" s="1442" t="s">
        <v>310</v>
      </c>
      <c r="D48" s="1317"/>
      <c r="E48" s="1782" t="s">
        <v>528</v>
      </c>
      <c r="F48" s="1318" t="s">
        <v>124</v>
      </c>
      <c r="G48" s="1319" t="s">
        <v>292</v>
      </c>
      <c r="H48" s="1320" t="s">
        <v>298</v>
      </c>
      <c r="I48" s="1428"/>
      <c r="J48" s="360"/>
      <c r="K48" s="189"/>
      <c r="L48" s="189"/>
      <c r="M48" s="384"/>
    </row>
    <row r="49" spans="1:13" hidden="1" x14ac:dyDescent="0.2">
      <c r="A49" s="196" t="s">
        <v>215</v>
      </c>
      <c r="B49" s="1397"/>
      <c r="C49" s="1443" t="s">
        <v>125</v>
      </c>
      <c r="D49" s="1321"/>
      <c r="E49" s="1782" t="s">
        <v>528</v>
      </c>
      <c r="F49" s="1322" t="s">
        <v>124</v>
      </c>
      <c r="G49" s="1323" t="s">
        <v>292</v>
      </c>
      <c r="H49" s="1324" t="s">
        <v>305</v>
      </c>
      <c r="I49" s="1428"/>
      <c r="J49" s="360"/>
      <c r="K49" s="189"/>
      <c r="L49" s="189"/>
      <c r="M49" s="384"/>
    </row>
    <row r="50" spans="1:13" hidden="1" x14ac:dyDescent="0.2">
      <c r="A50" s="196" t="s">
        <v>216</v>
      </c>
      <c r="B50" s="1397"/>
      <c r="C50" s="1443" t="s">
        <v>128</v>
      </c>
      <c r="D50" s="1321"/>
      <c r="E50" s="1782" t="s">
        <v>528</v>
      </c>
      <c r="F50" s="1322" t="s">
        <v>288</v>
      </c>
      <c r="G50" s="1323" t="s">
        <v>292</v>
      </c>
      <c r="H50" s="1324" t="s">
        <v>504</v>
      </c>
      <c r="I50" s="1428"/>
      <c r="J50" s="360"/>
      <c r="K50" s="189"/>
      <c r="L50" s="189"/>
      <c r="M50" s="384"/>
    </row>
    <row r="51" spans="1:13" hidden="1" x14ac:dyDescent="0.2">
      <c r="A51" s="196" t="s">
        <v>221</v>
      </c>
      <c r="B51" s="1397"/>
      <c r="C51" s="1443" t="s">
        <v>126</v>
      </c>
      <c r="D51" s="1321"/>
      <c r="E51" s="1782" t="s">
        <v>528</v>
      </c>
      <c r="F51" s="1322" t="s">
        <v>124</v>
      </c>
      <c r="G51" s="1323" t="s">
        <v>292</v>
      </c>
      <c r="H51" s="1324" t="s">
        <v>306</v>
      </c>
      <c r="I51" s="1428"/>
      <c r="J51" s="360"/>
      <c r="K51" s="189"/>
      <c r="L51" s="189"/>
      <c r="M51" s="384"/>
    </row>
    <row r="52" spans="1:13" ht="48.75" customHeight="1" x14ac:dyDescent="0.2">
      <c r="A52" s="194" t="s">
        <v>335</v>
      </c>
      <c r="B52" s="1397" t="s">
        <v>215</v>
      </c>
      <c r="C52" s="1452" t="str">
        <f>Бюд.р.!A78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2" s="1470">
        <v>925</v>
      </c>
      <c r="E52" s="1784" t="s">
        <v>528</v>
      </c>
      <c r="F52" s="1333" t="s">
        <v>67</v>
      </c>
      <c r="G52" s="1471">
        <f>Бюд.р.!F78</f>
        <v>100</v>
      </c>
      <c r="H52" s="1335"/>
      <c r="I52" s="1431">
        <f>Бюд.р.!H78</f>
        <v>264.60000000000002</v>
      </c>
      <c r="J52" s="360">
        <v>36.799999999999997</v>
      </c>
      <c r="K52" s="189">
        <v>36.700000000000003</v>
      </c>
      <c r="L52" s="189">
        <v>36.700000000000003</v>
      </c>
      <c r="M52" s="384">
        <v>36.700000000000003</v>
      </c>
    </row>
    <row r="53" spans="1:13" ht="24" hidden="1" x14ac:dyDescent="0.2">
      <c r="A53" s="197" t="s">
        <v>219</v>
      </c>
      <c r="B53" s="1398"/>
      <c r="C53" s="1450" t="s">
        <v>294</v>
      </c>
      <c r="D53" s="1306"/>
      <c r="E53" s="1782" t="s">
        <v>528</v>
      </c>
      <c r="F53" s="1314" t="s">
        <v>124</v>
      </c>
      <c r="G53" s="1315" t="s">
        <v>808</v>
      </c>
      <c r="H53" s="1316" t="s">
        <v>295</v>
      </c>
      <c r="I53" s="1428"/>
      <c r="J53" s="361"/>
      <c r="K53" s="237"/>
      <c r="L53" s="237"/>
      <c r="M53" s="350"/>
    </row>
    <row r="54" spans="1:13" hidden="1" x14ac:dyDescent="0.2">
      <c r="A54" s="198" t="s">
        <v>220</v>
      </c>
      <c r="B54" s="1397"/>
      <c r="C54" s="1451" t="s">
        <v>310</v>
      </c>
      <c r="D54" s="1336"/>
      <c r="E54" s="1782" t="s">
        <v>528</v>
      </c>
      <c r="F54" s="1337" t="s">
        <v>124</v>
      </c>
      <c r="G54" s="1338" t="s">
        <v>808</v>
      </c>
      <c r="H54" s="1339" t="s">
        <v>298</v>
      </c>
      <c r="I54" s="1428"/>
      <c r="J54" s="361"/>
      <c r="K54" s="237"/>
      <c r="L54" s="237"/>
      <c r="M54" s="350"/>
    </row>
    <row r="55" spans="1:13" hidden="1" x14ac:dyDescent="0.2">
      <c r="A55" s="199" t="s">
        <v>215</v>
      </c>
      <c r="B55" s="1401"/>
      <c r="C55" s="1443" t="s">
        <v>125</v>
      </c>
      <c r="D55" s="1321"/>
      <c r="E55" s="1782" t="s">
        <v>528</v>
      </c>
      <c r="F55" s="1322" t="s">
        <v>124</v>
      </c>
      <c r="G55" s="1323" t="s">
        <v>808</v>
      </c>
      <c r="H55" s="1324" t="s">
        <v>305</v>
      </c>
      <c r="I55" s="1428"/>
      <c r="J55" s="361"/>
      <c r="K55" s="237"/>
      <c r="L55" s="237"/>
      <c r="M55" s="350"/>
    </row>
    <row r="56" spans="1:13" hidden="1" x14ac:dyDescent="0.2">
      <c r="A56" s="199" t="s">
        <v>221</v>
      </c>
      <c r="B56" s="1401"/>
      <c r="C56" s="1443" t="s">
        <v>129</v>
      </c>
      <c r="D56" s="1321"/>
      <c r="E56" s="1782" t="s">
        <v>528</v>
      </c>
      <c r="F56" s="1322" t="s">
        <v>124</v>
      </c>
      <c r="G56" s="1323" t="s">
        <v>808</v>
      </c>
      <c r="H56" s="1324" t="s">
        <v>306</v>
      </c>
      <c r="I56" s="1428"/>
      <c r="J56" s="361"/>
      <c r="K56" s="237"/>
      <c r="L56" s="237"/>
      <c r="M56" s="350"/>
    </row>
    <row r="57" spans="1:13" ht="51.75" hidden="1" customHeight="1" thickBot="1" x14ac:dyDescent="0.25">
      <c r="A57" s="200" t="s">
        <v>282</v>
      </c>
      <c r="B57" s="1399"/>
      <c r="C57" s="1444" t="s">
        <v>535</v>
      </c>
      <c r="D57" s="1325"/>
      <c r="E57" s="1782" t="s">
        <v>528</v>
      </c>
      <c r="F57" s="1326"/>
      <c r="G57" s="1327"/>
      <c r="H57" s="1328"/>
      <c r="I57" s="1428"/>
      <c r="J57" s="361"/>
      <c r="K57" s="237"/>
      <c r="L57" s="237"/>
      <c r="M57" s="350"/>
    </row>
    <row r="58" spans="1:13" ht="24.75" customHeight="1" x14ac:dyDescent="0.2">
      <c r="A58" s="200"/>
      <c r="B58" s="1398" t="s">
        <v>1506</v>
      </c>
      <c r="C58" s="1445" t="str">
        <f>Бюд.р.!A82</f>
        <v>АППАРАТ ПРЕДСТАВИТЕЛЬНОГО ОРГАНА МУНИЦИПАЛЬНОГО ОБРАЗОВАНИЯ</v>
      </c>
      <c r="D58" s="1372">
        <v>925</v>
      </c>
      <c r="E58" s="1864" t="s">
        <v>528</v>
      </c>
      <c r="F58" s="1348" t="s">
        <v>529</v>
      </c>
      <c r="G58" s="1476"/>
      <c r="H58" s="1357"/>
      <c r="I58" s="1433">
        <f>SUM(I59:I61)</f>
        <v>2035.5260000000003</v>
      </c>
      <c r="J58" s="361"/>
      <c r="K58" s="237"/>
      <c r="L58" s="237"/>
      <c r="M58" s="350"/>
    </row>
    <row r="59" spans="1:13" ht="45" customHeight="1" x14ac:dyDescent="0.2">
      <c r="A59" s="200"/>
      <c r="B59" s="1397" t="s">
        <v>215</v>
      </c>
      <c r="C59" s="1352" t="str">
        <f>Бюд.р.!A83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9" s="1474">
        <v>925</v>
      </c>
      <c r="E59" s="1784" t="s">
        <v>528</v>
      </c>
      <c r="F59" s="1340" t="str">
        <f>Бюд.р.!D84</f>
        <v>002  04 00</v>
      </c>
      <c r="G59" s="1475">
        <f>Бюд.р.!F83</f>
        <v>100</v>
      </c>
      <c r="H59" s="1341"/>
      <c r="I59" s="1395">
        <f>Бюд.р.!H83</f>
        <v>817.67800000000011</v>
      </c>
      <c r="J59" s="361"/>
      <c r="K59" s="237"/>
      <c r="L59" s="237"/>
      <c r="M59" s="350"/>
    </row>
    <row r="60" spans="1:13" ht="24.75" customHeight="1" x14ac:dyDescent="0.2">
      <c r="A60" s="200"/>
      <c r="B60" s="1397" t="s">
        <v>216</v>
      </c>
      <c r="C60" s="1452" t="str">
        <f>Бюд.р.!A89</f>
        <v>Закупка товаров, работ и услуг  для государственных (муниципальных) нужд</v>
      </c>
      <c r="D60" s="1474">
        <v>925</v>
      </c>
      <c r="E60" s="1784" t="s">
        <v>528</v>
      </c>
      <c r="F60" s="1340" t="str">
        <f>Бюд.р.!D90</f>
        <v>002 04 00</v>
      </c>
      <c r="G60" s="1475">
        <f>Бюд.р.!F89</f>
        <v>200</v>
      </c>
      <c r="H60" s="1341"/>
      <c r="I60" s="1395">
        <f>Бюд.р.!H89</f>
        <v>1214.6490000000001</v>
      </c>
      <c r="J60" s="361"/>
      <c r="K60" s="237"/>
      <c r="L60" s="237"/>
      <c r="M60" s="350"/>
    </row>
    <row r="61" spans="1:13" ht="15.75" customHeight="1" thickBot="1" x14ac:dyDescent="0.25">
      <c r="A61" s="200"/>
      <c r="B61" s="1397" t="s">
        <v>1507</v>
      </c>
      <c r="C61" s="1457" t="str">
        <f>Бюд.р.!A99</f>
        <v>Иные бюджетные ассигнования</v>
      </c>
      <c r="D61" s="1474">
        <v>925</v>
      </c>
      <c r="E61" s="2480" t="s">
        <v>528</v>
      </c>
      <c r="F61" s="1340" t="s">
        <v>529</v>
      </c>
      <c r="G61" s="1475">
        <f>Бюд.р.!F99</f>
        <v>800</v>
      </c>
      <c r="H61" s="1341"/>
      <c r="I61" s="1395">
        <f>Бюд.р.!H99</f>
        <v>3.1989999999999998</v>
      </c>
      <c r="J61" s="361"/>
      <c r="K61" s="237"/>
      <c r="L61" s="237"/>
      <c r="M61" s="350"/>
    </row>
    <row r="62" spans="1:13" ht="20.25" hidden="1" customHeight="1" x14ac:dyDescent="0.2">
      <c r="A62" s="200"/>
      <c r="B62" s="2833" t="s">
        <v>1522</v>
      </c>
      <c r="C62" s="2845" t="str">
        <f>Бюд.р.!A103</f>
        <v>Другие общегосударственные вопросы</v>
      </c>
      <c r="D62" s="2841">
        <v>968</v>
      </c>
      <c r="E62" s="2844" t="s">
        <v>1054</v>
      </c>
      <c r="F62" s="2461"/>
      <c r="G62" s="2842"/>
      <c r="H62" s="2843"/>
      <c r="I62" s="2463">
        <f>I63</f>
        <v>0</v>
      </c>
      <c r="J62" s="361"/>
      <c r="K62" s="237"/>
      <c r="L62" s="237"/>
      <c r="M62" s="350"/>
    </row>
    <row r="63" spans="1:13" ht="41.25" hidden="1" customHeight="1" x14ac:dyDescent="0.2">
      <c r="A63" s="200"/>
      <c r="B63" s="1398" t="s">
        <v>497</v>
      </c>
      <c r="C63" s="1445" t="str">
        <f>Бюд.р.!A104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63" s="1372">
        <v>968</v>
      </c>
      <c r="E63" s="1345" t="s">
        <v>1054</v>
      </c>
      <c r="F63" s="1348" t="str">
        <f>F64</f>
        <v>092 05 00</v>
      </c>
      <c r="G63" s="1312"/>
      <c r="H63" s="1313"/>
      <c r="I63" s="1433">
        <f>I64</f>
        <v>0</v>
      </c>
      <c r="J63" s="361"/>
      <c r="K63" s="237"/>
      <c r="L63" s="237"/>
      <c r="M63" s="350"/>
    </row>
    <row r="64" spans="1:13" ht="16.5" hidden="1" customHeight="1" thickBot="1" x14ac:dyDescent="0.25">
      <c r="A64" s="200"/>
      <c r="B64" s="1397" t="s">
        <v>215</v>
      </c>
      <c r="C64" s="1452" t="str">
        <f>Бюд.р.!A105</f>
        <v>Иные бюджетные ассигнования</v>
      </c>
      <c r="D64" s="1310" t="s">
        <v>696</v>
      </c>
      <c r="E64" s="1311" t="s">
        <v>1054</v>
      </c>
      <c r="F64" s="1311" t="str">
        <f>Бюд.р.!D105</f>
        <v>092 05 00</v>
      </c>
      <c r="G64" s="1312">
        <f>Бюд.р.!F105</f>
        <v>800</v>
      </c>
      <c r="H64" s="1313"/>
      <c r="I64" s="1427">
        <f>Бюд.р.!H105</f>
        <v>0</v>
      </c>
      <c r="J64" s="361"/>
      <c r="K64" s="237"/>
      <c r="L64" s="237"/>
      <c r="M64" s="350"/>
    </row>
    <row r="65" spans="1:13" ht="27.75" customHeight="1" thickBot="1" x14ac:dyDescent="0.25">
      <c r="A65" s="200"/>
      <c r="B65" s="2117"/>
      <c r="C65" s="1858" t="s">
        <v>512</v>
      </c>
      <c r="D65" s="1859" t="s">
        <v>696</v>
      </c>
      <c r="E65" s="1860"/>
      <c r="F65" s="1860"/>
      <c r="G65" s="1861"/>
      <c r="H65" s="1862"/>
      <c r="I65" s="1863">
        <f>I66+I95+I101+I108+I139+I161+I170+I182+I186</f>
        <v>120280.19999999998</v>
      </c>
      <c r="J65" s="361"/>
      <c r="K65" s="237"/>
      <c r="L65" s="237"/>
      <c r="M65" s="350"/>
    </row>
    <row r="66" spans="1:13" ht="22.5" customHeight="1" thickBot="1" x14ac:dyDescent="0.25">
      <c r="A66" s="200"/>
      <c r="B66" s="2826" t="s">
        <v>811</v>
      </c>
      <c r="C66" s="2827" t="s">
        <v>122</v>
      </c>
      <c r="D66" s="2828">
        <v>968</v>
      </c>
      <c r="E66" s="2829" t="s">
        <v>511</v>
      </c>
      <c r="F66" s="2829"/>
      <c r="G66" s="2830"/>
      <c r="H66" s="2831"/>
      <c r="I66" s="2832">
        <f>I67+I77+I80</f>
        <v>30782.746999999999</v>
      </c>
      <c r="J66" s="361"/>
      <c r="K66" s="237"/>
      <c r="L66" s="237"/>
      <c r="M66" s="350"/>
    </row>
    <row r="67" spans="1:13" ht="52.5" customHeight="1" x14ac:dyDescent="0.2">
      <c r="A67" s="200"/>
      <c r="B67" s="2833" t="s">
        <v>628</v>
      </c>
      <c r="C67" s="2840" t="str">
        <f>Бюд.р.!A150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67" s="2841">
        <v>968</v>
      </c>
      <c r="E67" s="2844" t="s">
        <v>530</v>
      </c>
      <c r="F67" s="2461"/>
      <c r="G67" s="2842"/>
      <c r="H67" s="2843"/>
      <c r="I67" s="2463">
        <f>I68+I70+I75</f>
        <v>26767.585999999996</v>
      </c>
      <c r="J67" s="361"/>
      <c r="K67" s="237"/>
      <c r="L67" s="237"/>
      <c r="M67" s="350"/>
    </row>
    <row r="68" spans="1:13" ht="16.5" customHeight="1" x14ac:dyDescent="0.2">
      <c r="A68" s="200"/>
      <c r="B68" s="1398" t="s">
        <v>212</v>
      </c>
      <c r="C68" s="1441" t="str">
        <f>Бюд.р.!A151</f>
        <v>ГЛАВА МЕСТНОЙ АДМИНИСТРАЦИИ</v>
      </c>
      <c r="D68" s="1344" t="s">
        <v>696</v>
      </c>
      <c r="E68" s="1345" t="s">
        <v>530</v>
      </c>
      <c r="F68" s="1345" t="s">
        <v>531</v>
      </c>
      <c r="G68" s="1346"/>
      <c r="H68" s="1357"/>
      <c r="I68" s="1433">
        <f>I69</f>
        <v>1117.634</v>
      </c>
      <c r="J68" s="358"/>
      <c r="K68" s="152"/>
      <c r="L68" s="152"/>
      <c r="M68" s="382"/>
    </row>
    <row r="69" spans="1:13" ht="46.5" customHeight="1" x14ac:dyDescent="0.2">
      <c r="A69" s="200"/>
      <c r="B69" s="1397" t="s">
        <v>215</v>
      </c>
      <c r="C69" s="1352" t="str">
        <f>Бюд.р.!A152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9" s="1310" t="s">
        <v>696</v>
      </c>
      <c r="E69" s="1311" t="s">
        <v>530</v>
      </c>
      <c r="F69" s="1311" t="s">
        <v>531</v>
      </c>
      <c r="G69" s="1312">
        <f>Бюд.р.!F152</f>
        <v>100</v>
      </c>
      <c r="H69" s="1343"/>
      <c r="I69" s="1431">
        <f>Бюд.р.!H152</f>
        <v>1117.634</v>
      </c>
      <c r="J69" s="358"/>
      <c r="K69" s="152"/>
      <c r="L69" s="152"/>
      <c r="M69" s="382"/>
    </row>
    <row r="70" spans="1:13" ht="33.75" customHeight="1" x14ac:dyDescent="0.2">
      <c r="A70" s="193" t="s">
        <v>289</v>
      </c>
      <c r="B70" s="1398" t="s">
        <v>428</v>
      </c>
      <c r="C70" s="1441" t="str">
        <f>Бюд.р.!A158</f>
        <v>СОДЕРЖАНИЕ И ОБЕСПЕЧЕНИЕ ДЕЯТЕЛЬНОСТИ МЕСТНОЙ АДМИНИСТРАЦИИ ПО РЕШЕНИЮ ВОПРОСОВ МЕСТНОГО ЗНАЧЕНИЯ</v>
      </c>
      <c r="D70" s="1344" t="s">
        <v>696</v>
      </c>
      <c r="E70" s="1345" t="s">
        <v>530</v>
      </c>
      <c r="F70" s="1345" t="s">
        <v>70</v>
      </c>
      <c r="G70" s="1346"/>
      <c r="H70" s="1313"/>
      <c r="I70" s="1433">
        <f>Бюд.р.!H158</f>
        <v>25644.351999999999</v>
      </c>
      <c r="J70" s="359">
        <f>SUM(J71:J71)</f>
        <v>2691.8</v>
      </c>
      <c r="K70" s="186">
        <f>SUM(K71:K71)</f>
        <v>2768.6</v>
      </c>
      <c r="L70" s="186">
        <f>SUM(L71:L71)</f>
        <v>4207.1000000000004</v>
      </c>
      <c r="M70" s="383">
        <f>SUM(M71:M71)</f>
        <v>2727.5</v>
      </c>
    </row>
    <row r="71" spans="1:13" ht="45" customHeight="1" x14ac:dyDescent="0.2">
      <c r="A71" s="193"/>
      <c r="B71" s="1397" t="s">
        <v>215</v>
      </c>
      <c r="C71" s="1352" t="str">
        <f>Бюд.р.!A159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1" s="1470">
        <v>968</v>
      </c>
      <c r="E71" s="1311" t="s">
        <v>530</v>
      </c>
      <c r="F71" s="1333" t="s">
        <v>70</v>
      </c>
      <c r="G71" s="1471">
        <f>Бюд.р.!F159</f>
        <v>100</v>
      </c>
      <c r="H71" s="1347"/>
      <c r="I71" s="1431">
        <f>Бюд.р.!H159</f>
        <v>19631.649000000001</v>
      </c>
      <c r="J71" s="360">
        <v>2691.8</v>
      </c>
      <c r="K71" s="189">
        <v>2768.6</v>
      </c>
      <c r="L71" s="189">
        <v>4207.1000000000004</v>
      </c>
      <c r="M71" s="384">
        <v>2727.5</v>
      </c>
    </row>
    <row r="72" spans="1:13" ht="25.5" customHeight="1" x14ac:dyDescent="0.2">
      <c r="A72" s="193"/>
      <c r="B72" s="1397" t="s">
        <v>216</v>
      </c>
      <c r="C72" s="1452" t="str">
        <f>Бюд.р.!A165</f>
        <v>Закупка товаров, работ и услуг  для государственных (муниципальных) нужд</v>
      </c>
      <c r="D72" s="1470">
        <v>968</v>
      </c>
      <c r="E72" s="1311" t="s">
        <v>530</v>
      </c>
      <c r="F72" s="1333" t="s">
        <v>70</v>
      </c>
      <c r="G72" s="1471">
        <f>Бюд.р.!F165</f>
        <v>200</v>
      </c>
      <c r="H72" s="1347"/>
      <c r="I72" s="1431">
        <f>Бюд.р.!H165</f>
        <v>5925.0360000000001</v>
      </c>
      <c r="J72" s="360"/>
      <c r="K72" s="189"/>
      <c r="L72" s="189"/>
      <c r="M72" s="384"/>
    </row>
    <row r="73" spans="1:13" ht="12.75" customHeight="1" x14ac:dyDescent="0.2">
      <c r="A73" s="193"/>
      <c r="B73" s="1397" t="s">
        <v>1507</v>
      </c>
      <c r="C73" s="1452" t="str">
        <f>Бюд.р.!A187</f>
        <v>Социальное обеспечение и иные выплаты населению</v>
      </c>
      <c r="D73" s="1470">
        <v>968</v>
      </c>
      <c r="E73" s="2255" t="s">
        <v>530</v>
      </c>
      <c r="F73" s="1333" t="s">
        <v>70</v>
      </c>
      <c r="G73" s="1471">
        <f>Бюд.р.!F187</f>
        <v>300</v>
      </c>
      <c r="H73" s="1347"/>
      <c r="I73" s="1431">
        <f>Бюд.р.!H187</f>
        <v>57.067</v>
      </c>
      <c r="J73" s="360"/>
      <c r="K73" s="189"/>
      <c r="L73" s="189"/>
      <c r="M73" s="384"/>
    </row>
    <row r="74" spans="1:13" ht="12.75" customHeight="1" x14ac:dyDescent="0.2">
      <c r="A74" s="193"/>
      <c r="B74" s="1397" t="s">
        <v>222</v>
      </c>
      <c r="C74" s="1452" t="str">
        <f>Бюд.р.!A201</f>
        <v>Иные бюджетные ассигнования</v>
      </c>
      <c r="D74" s="1470">
        <v>968</v>
      </c>
      <c r="E74" s="1311" t="s">
        <v>530</v>
      </c>
      <c r="F74" s="1333" t="s">
        <v>70</v>
      </c>
      <c r="G74" s="1471">
        <f>Бюд.р.!F201</f>
        <v>800</v>
      </c>
      <c r="H74" s="1347"/>
      <c r="I74" s="1431">
        <f>Бюд.р.!H201</f>
        <v>30.6</v>
      </c>
      <c r="J74" s="360"/>
      <c r="K74" s="189"/>
      <c r="L74" s="189"/>
      <c r="M74" s="384"/>
    </row>
    <row r="75" spans="1:13" ht="34.5" customHeight="1" x14ac:dyDescent="0.2">
      <c r="A75" s="193"/>
      <c r="B75" s="1402" t="s">
        <v>1190</v>
      </c>
      <c r="C75" s="1446" t="str">
        <f>Бюд.р.!A208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75" s="1482">
        <v>968</v>
      </c>
      <c r="E75" s="1747" t="s">
        <v>530</v>
      </c>
      <c r="F75" s="1483" t="str">
        <f>Бюд.р.!D208</f>
        <v>002  80 10</v>
      </c>
      <c r="G75" s="2866"/>
      <c r="H75" s="1347"/>
      <c r="I75" s="1434">
        <f>I76</f>
        <v>5.6</v>
      </c>
      <c r="J75" s="360"/>
      <c r="K75" s="189"/>
      <c r="L75" s="189"/>
      <c r="M75" s="384"/>
    </row>
    <row r="76" spans="1:13" ht="25.5" customHeight="1" x14ac:dyDescent="0.2">
      <c r="A76" s="194" t="s">
        <v>225</v>
      </c>
      <c r="B76" s="1397" t="s">
        <v>215</v>
      </c>
      <c r="C76" s="1452" t="str">
        <f>Бюд.р.!A209</f>
        <v>Закупка товаров, работ и услуг  для государственных (муниципальных) нужд</v>
      </c>
      <c r="D76" s="1470">
        <v>968</v>
      </c>
      <c r="E76" s="1311" t="s">
        <v>530</v>
      </c>
      <c r="F76" s="1333" t="str">
        <f>Бюд.р.!D210</f>
        <v>002  80 10</v>
      </c>
      <c r="G76" s="1471">
        <f>Бюд.р.!F209</f>
        <v>200</v>
      </c>
      <c r="H76" s="1347"/>
      <c r="I76" s="1431">
        <f>Бюд.р.!H209</f>
        <v>5.6</v>
      </c>
      <c r="J76" s="359" t="e">
        <f>#REF!</f>
        <v>#REF!</v>
      </c>
      <c r="K76" s="186" t="e">
        <f>#REF!</f>
        <v>#REF!</v>
      </c>
      <c r="L76" s="186" t="e">
        <f>#REF!</f>
        <v>#REF!</v>
      </c>
      <c r="M76" s="383" t="e">
        <f>#REF!</f>
        <v>#REF!</v>
      </c>
    </row>
    <row r="77" spans="1:13" ht="15.75" customHeight="1" x14ac:dyDescent="0.2">
      <c r="A77" s="194"/>
      <c r="B77" s="2833" t="s">
        <v>287</v>
      </c>
      <c r="C77" s="2845" t="str">
        <f>Бюд.р.!A220</f>
        <v>Резервные фонды</v>
      </c>
      <c r="D77" s="2841">
        <v>968</v>
      </c>
      <c r="E77" s="2844" t="s">
        <v>1440</v>
      </c>
      <c r="F77" s="2461"/>
      <c r="G77" s="2842"/>
      <c r="H77" s="2843"/>
      <c r="I77" s="2463">
        <f>I78</f>
        <v>2739.1710000000003</v>
      </c>
      <c r="J77" s="359"/>
      <c r="K77" s="186"/>
      <c r="L77" s="186"/>
      <c r="M77" s="383"/>
    </row>
    <row r="78" spans="1:13" x14ac:dyDescent="0.2">
      <c r="A78" s="198" t="s">
        <v>473</v>
      </c>
      <c r="B78" s="1396" t="s">
        <v>812</v>
      </c>
      <c r="C78" s="1448" t="str">
        <f>Бюд.р.!A221</f>
        <v>Резервный фонд местной администрации</v>
      </c>
      <c r="D78" s="1353">
        <v>968</v>
      </c>
      <c r="E78" s="2477" t="s">
        <v>1440</v>
      </c>
      <c r="F78" s="1329" t="s">
        <v>33</v>
      </c>
      <c r="G78" s="1469"/>
      <c r="H78" s="1349"/>
      <c r="I78" s="1430">
        <f>I79</f>
        <v>2739.1710000000003</v>
      </c>
      <c r="J78" s="360"/>
      <c r="K78" s="189"/>
      <c r="L78" s="189"/>
      <c r="M78" s="384"/>
    </row>
    <row r="79" spans="1:13" x14ac:dyDescent="0.2">
      <c r="A79" s="198" t="s">
        <v>215</v>
      </c>
      <c r="B79" s="1397" t="s">
        <v>215</v>
      </c>
      <c r="C79" s="1452" t="str">
        <f>Бюд.р.!A222</f>
        <v>Иные бюджетные ассигнования</v>
      </c>
      <c r="D79" s="1470">
        <v>968</v>
      </c>
      <c r="E79" s="2473" t="s">
        <v>1440</v>
      </c>
      <c r="F79" s="1333" t="s">
        <v>34</v>
      </c>
      <c r="G79" s="1471">
        <f>Бюд.р.!F222</f>
        <v>800</v>
      </c>
      <c r="H79" s="1335"/>
      <c r="I79" s="1431">
        <f>Бюд.р.!H222</f>
        <v>2739.1710000000003</v>
      </c>
      <c r="J79" s="360"/>
      <c r="K79" s="189"/>
      <c r="L79" s="189"/>
      <c r="M79" s="384"/>
    </row>
    <row r="80" spans="1:13" x14ac:dyDescent="0.2">
      <c r="A80" s="198"/>
      <c r="B80" s="2833" t="s">
        <v>744</v>
      </c>
      <c r="C80" s="2845" t="str">
        <f>Бюд.р.!A226</f>
        <v>Другие общегосударственные вопросы</v>
      </c>
      <c r="D80" s="2841">
        <v>968</v>
      </c>
      <c r="E80" s="2844" t="s">
        <v>1054</v>
      </c>
      <c r="F80" s="2461"/>
      <c r="G80" s="2842"/>
      <c r="H80" s="2843"/>
      <c r="I80" s="2463">
        <f>I81+I83+I85+I87+I89+I91+I93</f>
        <v>1275.99</v>
      </c>
      <c r="J80" s="360"/>
      <c r="K80" s="189"/>
      <c r="L80" s="189"/>
      <c r="M80" s="384"/>
    </row>
    <row r="81" spans="1:13" ht="34.5" customHeight="1" x14ac:dyDescent="0.2">
      <c r="A81" s="198"/>
      <c r="B81" s="1398" t="s">
        <v>497</v>
      </c>
      <c r="C81" s="1445" t="str">
        <f>Бюд.р.!A227</f>
        <v>ФОРМИРОВАНИЕ АРХИВНЫХ ФОНДОВ ОРГАНОВ МЕСТНОГО САМОУПРАВЛЕНИЯ,МУНИЦИПАЛЬНЫХ ПРЕДПРИЯТИЙ И УЧРЕЖДЕНИЙ</v>
      </c>
      <c r="D81" s="1344" t="s">
        <v>696</v>
      </c>
      <c r="E81" s="1345" t="s">
        <v>1054</v>
      </c>
      <c r="F81" s="1378" t="str">
        <f>F82</f>
        <v>090 01 00</v>
      </c>
      <c r="G81" s="1346"/>
      <c r="H81" s="2867"/>
      <c r="I81" s="1433">
        <f>I82</f>
        <v>109.65</v>
      </c>
      <c r="J81" s="359">
        <f>J82</f>
        <v>0</v>
      </c>
      <c r="K81" s="186">
        <f>K82</f>
        <v>0</v>
      </c>
      <c r="L81" s="186">
        <f>L82</f>
        <v>0</v>
      </c>
      <c r="M81" s="383">
        <f>M82</f>
        <v>0</v>
      </c>
    </row>
    <row r="82" spans="1:13" ht="24.75" customHeight="1" x14ac:dyDescent="0.2">
      <c r="A82" s="200"/>
      <c r="B82" s="1397" t="s">
        <v>215</v>
      </c>
      <c r="C82" s="1452" t="str">
        <f>Бюд.р.!A228</f>
        <v>Закупка товаров, работ и услуг  для государственных (муниципальных) нужд</v>
      </c>
      <c r="D82" s="1310" t="s">
        <v>696</v>
      </c>
      <c r="E82" s="1311" t="s">
        <v>1054</v>
      </c>
      <c r="F82" s="1311" t="s">
        <v>1135</v>
      </c>
      <c r="G82" s="1312">
        <f>Бюд.р.!F228</f>
        <v>200</v>
      </c>
      <c r="H82" s="1328"/>
      <c r="I82" s="1427">
        <f>Бюд.р.!H228</f>
        <v>109.65</v>
      </c>
      <c r="J82" s="360">
        <v>0</v>
      </c>
      <c r="K82" s="189">
        <v>0</v>
      </c>
      <c r="L82" s="189">
        <v>0</v>
      </c>
      <c r="M82" s="384">
        <v>0</v>
      </c>
    </row>
    <row r="83" spans="1:13" ht="23.25" customHeight="1" x14ac:dyDescent="0.2">
      <c r="A83" s="194"/>
      <c r="B83" s="1398" t="s">
        <v>1385</v>
      </c>
      <c r="C83" s="1445" t="str">
        <f>Бюд.р.!A240</f>
        <v>РАСХОДЫ НА ОСУЩЕСТВЛЕНИЕ ЗАКУПОК ТОВАРОВ, РАБОТ, УСЛУГ ДЛЯ ОБЕСПЕЧЕНИЯ МУНИЦИПАЛЬНЫХ НУЖД</v>
      </c>
      <c r="D83" s="1372">
        <v>968</v>
      </c>
      <c r="E83" s="1348">
        <v>113</v>
      </c>
      <c r="F83" s="1348" t="str">
        <f>F84</f>
        <v>092 02 00</v>
      </c>
      <c r="G83" s="1476"/>
      <c r="H83" s="1357"/>
      <c r="I83" s="1433">
        <f>I84</f>
        <v>400</v>
      </c>
      <c r="J83" s="360"/>
      <c r="K83" s="189"/>
      <c r="L83" s="189"/>
      <c r="M83" s="384"/>
    </row>
    <row r="84" spans="1:13" ht="24" customHeight="1" x14ac:dyDescent="0.2">
      <c r="A84" s="194"/>
      <c r="B84" s="1397" t="s">
        <v>215</v>
      </c>
      <c r="C84" s="1452" t="str">
        <f>Бюд.р.!A241</f>
        <v>Закупка товаров, работ и услуг  для государственных (муниципальных) нужд</v>
      </c>
      <c r="D84" s="1470">
        <v>968</v>
      </c>
      <c r="E84" s="1333">
        <v>113</v>
      </c>
      <c r="F84" s="1333" t="s">
        <v>636</v>
      </c>
      <c r="G84" s="1471">
        <f>Бюд.р.!F241</f>
        <v>200</v>
      </c>
      <c r="H84" s="1347"/>
      <c r="I84" s="1431">
        <f>Бюд.р.!H241</f>
        <v>400</v>
      </c>
      <c r="J84" s="360"/>
      <c r="K84" s="189"/>
      <c r="L84" s="189"/>
      <c r="M84" s="384"/>
    </row>
    <row r="85" spans="1:13" ht="24" customHeight="1" x14ac:dyDescent="0.2">
      <c r="A85" s="194"/>
      <c r="B85" s="1398" t="s">
        <v>1386</v>
      </c>
      <c r="C85" s="1446" t="str">
        <f>Бюд.р.!A245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85" s="1482">
        <v>968</v>
      </c>
      <c r="E85" s="1483">
        <f>Бюд.р.!C245</f>
        <v>113</v>
      </c>
      <c r="F85" s="1483" t="str">
        <f>Бюд.р.!D245</f>
        <v>092 05 00</v>
      </c>
      <c r="G85" s="2866"/>
      <c r="H85" s="1334"/>
      <c r="I85" s="1434">
        <f>I86</f>
        <v>72</v>
      </c>
      <c r="J85" s="360"/>
      <c r="K85" s="189"/>
      <c r="L85" s="189"/>
      <c r="M85" s="384"/>
    </row>
    <row r="86" spans="1:13" ht="16.5" customHeight="1" x14ac:dyDescent="0.2">
      <c r="A86" s="194"/>
      <c r="B86" s="1403" t="s">
        <v>215</v>
      </c>
      <c r="C86" s="1452" t="str">
        <f>Бюд.р.!A246</f>
        <v>Иные бюджетные ассигнования</v>
      </c>
      <c r="D86" s="1470">
        <v>968</v>
      </c>
      <c r="E86" s="1333">
        <f>Бюд.р.!C246</f>
        <v>113</v>
      </c>
      <c r="F86" s="1333" t="str">
        <f>Бюд.р.!D246</f>
        <v>092 05 00</v>
      </c>
      <c r="G86" s="1471">
        <f>Бюд.р.!F246</f>
        <v>800</v>
      </c>
      <c r="H86" s="1347"/>
      <c r="I86" s="1431">
        <f>Бюд.р.!H246</f>
        <v>72</v>
      </c>
      <c r="J86" s="360"/>
      <c r="K86" s="189"/>
      <c r="L86" s="189"/>
      <c r="M86" s="384"/>
    </row>
    <row r="87" spans="1:13" ht="56.25" x14ac:dyDescent="0.2">
      <c r="A87" s="205"/>
      <c r="B87" s="1398" t="s">
        <v>1523</v>
      </c>
      <c r="C87" s="1445" t="str">
        <f>Бюд.р.!A250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87" s="1372">
        <v>968</v>
      </c>
      <c r="E87" s="1345" t="s">
        <v>1054</v>
      </c>
      <c r="F87" s="1348" t="str">
        <f>F88</f>
        <v>092 06 00</v>
      </c>
      <c r="G87" s="1476"/>
      <c r="H87" s="1357"/>
      <c r="I87" s="1433">
        <f>I88</f>
        <v>333.91999999999996</v>
      </c>
      <c r="J87" s="361"/>
      <c r="K87" s="237"/>
      <c r="L87" s="237"/>
      <c r="M87" s="350"/>
    </row>
    <row r="88" spans="1:13" ht="22.5" customHeight="1" x14ac:dyDescent="0.2">
      <c r="A88" s="205"/>
      <c r="B88" s="1403" t="s">
        <v>215</v>
      </c>
      <c r="C88" s="1452" t="str">
        <f>Бюд.р.!A251</f>
        <v>Закупка товаров, работ и услуг  для государственных (муниципальных) нужд</v>
      </c>
      <c r="D88" s="1474">
        <v>968</v>
      </c>
      <c r="E88" s="1311" t="s">
        <v>1054</v>
      </c>
      <c r="F88" s="1340" t="s">
        <v>1140</v>
      </c>
      <c r="G88" s="1475">
        <f>Бюд.р.!F251</f>
        <v>200</v>
      </c>
      <c r="H88" s="1354"/>
      <c r="I88" s="1395">
        <f>Бюд.р.!H251</f>
        <v>333.91999999999996</v>
      </c>
      <c r="J88" s="361"/>
      <c r="K88" s="237"/>
      <c r="L88" s="237"/>
      <c r="M88" s="350"/>
    </row>
    <row r="89" spans="1:13" ht="33.75" x14ac:dyDescent="0.2">
      <c r="A89" s="205"/>
      <c r="B89" s="1422" t="s">
        <v>1524</v>
      </c>
      <c r="C89" s="1445" t="str">
        <f>Бюд.р.!A266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D89" s="1372">
        <v>968</v>
      </c>
      <c r="E89" s="1345" t="s">
        <v>1054</v>
      </c>
      <c r="F89" s="1348" t="str">
        <f>F90</f>
        <v>795 02 00</v>
      </c>
      <c r="G89" s="2865"/>
      <c r="H89" s="2869"/>
      <c r="I89" s="1433">
        <f>I90</f>
        <v>90</v>
      </c>
      <c r="J89" s="361"/>
      <c r="K89" s="237"/>
      <c r="L89" s="237"/>
      <c r="M89" s="350"/>
    </row>
    <row r="90" spans="1:13" ht="24" customHeight="1" x14ac:dyDescent="0.2">
      <c r="A90" s="205"/>
      <c r="B90" s="1397" t="s">
        <v>215</v>
      </c>
      <c r="C90" s="1452" t="str">
        <f>Бюд.р.!A267</f>
        <v>Закупка товаров, работ и услуг  для государственных (муниципальных) нужд</v>
      </c>
      <c r="D90" s="1470">
        <v>968</v>
      </c>
      <c r="E90" s="1311" t="s">
        <v>1054</v>
      </c>
      <c r="F90" s="1333" t="s">
        <v>1143</v>
      </c>
      <c r="G90" s="1471">
        <f>Бюд.р.!F267</f>
        <v>200</v>
      </c>
      <c r="H90" s="1355"/>
      <c r="I90" s="1431">
        <f>Бюд.р.!H267</f>
        <v>90</v>
      </c>
      <c r="J90" s="361"/>
      <c r="K90" s="237"/>
      <c r="L90" s="237"/>
      <c r="M90" s="350"/>
    </row>
    <row r="91" spans="1:13" ht="24" customHeight="1" x14ac:dyDescent="0.2">
      <c r="A91" s="205"/>
      <c r="B91" s="1398" t="s">
        <v>1525</v>
      </c>
      <c r="C91" s="1445" t="str">
        <f>Бюд.р.!A261</f>
        <v>РАСХОДЫ НА ОСУЩЕСТВЛЕНИЕ ЗАЩИТЫ ПРАВ ПОТРЕБИТЕЛЕЙ</v>
      </c>
      <c r="D91" s="1372">
        <v>968</v>
      </c>
      <c r="E91" s="1345" t="s">
        <v>1054</v>
      </c>
      <c r="F91" s="1348" t="str">
        <f>Бюд.р.!D261</f>
        <v>092 10 00</v>
      </c>
      <c r="G91" s="1476"/>
      <c r="H91" s="2868"/>
      <c r="I91" s="1433">
        <f>I92</f>
        <v>133.91999999999999</v>
      </c>
      <c r="J91" s="361"/>
      <c r="K91" s="237"/>
      <c r="L91" s="237"/>
      <c r="M91" s="350"/>
    </row>
    <row r="92" spans="1:13" ht="24" customHeight="1" x14ac:dyDescent="0.2">
      <c r="A92" s="205"/>
      <c r="B92" s="1397" t="s">
        <v>215</v>
      </c>
      <c r="C92" s="1452" t="str">
        <f>Бюд.р.!A262</f>
        <v>Закупка товаров, работ и услуг  для государственных (муниципальных) нужд</v>
      </c>
      <c r="D92" s="1470">
        <v>968</v>
      </c>
      <c r="E92" s="2705" t="s">
        <v>1054</v>
      </c>
      <c r="F92" s="1333" t="str">
        <f>Бюд.р.!D262</f>
        <v>092 10 00</v>
      </c>
      <c r="G92" s="1471">
        <f>Бюд.р.!F262</f>
        <v>200</v>
      </c>
      <c r="H92" s="1355"/>
      <c r="I92" s="1431">
        <f>Бюд.р.!H262</f>
        <v>133.91999999999999</v>
      </c>
      <c r="J92" s="361"/>
      <c r="K92" s="237"/>
      <c r="L92" s="237"/>
      <c r="M92" s="350"/>
    </row>
    <row r="93" spans="1:13" ht="66.75" customHeight="1" x14ac:dyDescent="0.2">
      <c r="A93" s="193"/>
      <c r="B93" s="1398" t="s">
        <v>1526</v>
      </c>
      <c r="C93" s="1445" t="str">
        <f>Бюд.р.!A273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93" s="1372">
        <v>968</v>
      </c>
      <c r="E93" s="2870" t="s">
        <v>1054</v>
      </c>
      <c r="F93" s="1348" t="str">
        <f>Бюд.р.!D273</f>
        <v>795 11 00</v>
      </c>
      <c r="G93" s="1346"/>
      <c r="H93" s="1357"/>
      <c r="I93" s="1433">
        <f>I94</f>
        <v>136.5</v>
      </c>
      <c r="J93" s="359"/>
      <c r="K93" s="186"/>
      <c r="L93" s="186"/>
      <c r="M93" s="383"/>
    </row>
    <row r="94" spans="1:13" ht="27" customHeight="1" thickBot="1" x14ac:dyDescent="0.25">
      <c r="A94" s="193"/>
      <c r="B94" s="1397" t="s">
        <v>215</v>
      </c>
      <c r="C94" s="1452" t="str">
        <f>Бюд.р.!A274</f>
        <v>Закупка товаров, работ и услуг  для государственных (муниципальных) нужд</v>
      </c>
      <c r="D94" s="1470">
        <v>968</v>
      </c>
      <c r="E94" s="2705" t="s">
        <v>1054</v>
      </c>
      <c r="F94" s="1333" t="str">
        <f>Бюд.р.!D274</f>
        <v>795 11 00</v>
      </c>
      <c r="G94" s="1477">
        <f>Бюд.р.!F274</f>
        <v>200</v>
      </c>
      <c r="H94" s="1347"/>
      <c r="I94" s="1431">
        <f>Бюд.р.!H274</f>
        <v>136.5</v>
      </c>
      <c r="J94" s="359"/>
      <c r="K94" s="186"/>
      <c r="L94" s="186"/>
      <c r="M94" s="383"/>
    </row>
    <row r="95" spans="1:13" ht="27" customHeight="1" thickBot="1" x14ac:dyDescent="0.25">
      <c r="A95" s="193"/>
      <c r="B95" s="2826" t="s">
        <v>924</v>
      </c>
      <c r="C95" s="2827" t="str">
        <f>Бюд.р.!A279</f>
        <v>НАЦИОНАЛЬНАЯ БЕЗОПАСНОСТЬ И ПРАВООХРАНИТЕЛЬНАЯ ДЕЯТЕЛЬНОСТЬ</v>
      </c>
      <c r="D95" s="2828">
        <v>968</v>
      </c>
      <c r="E95" s="2846" t="s">
        <v>523</v>
      </c>
      <c r="F95" s="2829"/>
      <c r="G95" s="2830"/>
      <c r="H95" s="2831"/>
      <c r="I95" s="2832">
        <f>I96</f>
        <v>276.351</v>
      </c>
      <c r="J95" s="359"/>
      <c r="K95" s="186"/>
      <c r="L95" s="186"/>
      <c r="M95" s="383"/>
    </row>
    <row r="96" spans="1:13" ht="42" customHeight="1" x14ac:dyDescent="0.2">
      <c r="A96" s="193"/>
      <c r="B96" s="2833" t="s">
        <v>1527</v>
      </c>
      <c r="C96" s="2834" t="str">
        <f>Бюд.р.!A280</f>
        <v>Защита населения и территории от чрезвычайных ситуаций природного и техногенного характера, гражданская оборона</v>
      </c>
      <c r="D96" s="2835">
        <v>968</v>
      </c>
      <c r="E96" s="2856" t="s">
        <v>462</v>
      </c>
      <c r="F96" s="2836"/>
      <c r="G96" s="2837"/>
      <c r="H96" s="2838"/>
      <c r="I96" s="2839">
        <f>I97+I99</f>
        <v>276.351</v>
      </c>
      <c r="J96" s="359"/>
      <c r="K96" s="186"/>
      <c r="L96" s="186"/>
      <c r="M96" s="383"/>
    </row>
    <row r="97" spans="1:13" ht="123.75" customHeight="1" x14ac:dyDescent="0.2">
      <c r="A97" s="193"/>
      <c r="B97" s="1398" t="s">
        <v>217</v>
      </c>
      <c r="C97" s="1359" t="str">
        <f>Бюд.р.!A281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97" s="1478">
        <v>968</v>
      </c>
      <c r="E97" s="2871" t="s">
        <v>462</v>
      </c>
      <c r="F97" s="1423" t="str">
        <f>F98</f>
        <v>219 03 00</v>
      </c>
      <c r="G97" s="2872"/>
      <c r="H97" s="2873"/>
      <c r="I97" s="1435">
        <f>I98</f>
        <v>151.351</v>
      </c>
      <c r="J97" s="359"/>
      <c r="K97" s="186"/>
      <c r="L97" s="186"/>
      <c r="M97" s="383"/>
    </row>
    <row r="98" spans="1:13" ht="24" customHeight="1" x14ac:dyDescent="0.2">
      <c r="A98" s="194" t="s">
        <v>212</v>
      </c>
      <c r="B98" s="1403" t="s">
        <v>215</v>
      </c>
      <c r="C98" s="1452" t="str">
        <f>Бюд.р.!A282</f>
        <v>Закупка товаров, работ и услуг  для государственных (муниципальных) нужд</v>
      </c>
      <c r="D98" s="1470">
        <v>968</v>
      </c>
      <c r="E98" s="1362" t="s">
        <v>462</v>
      </c>
      <c r="F98" s="1333" t="s">
        <v>1150</v>
      </c>
      <c r="G98" s="1471">
        <f>Бюд.р.!F282</f>
        <v>200</v>
      </c>
      <c r="H98" s="1347"/>
      <c r="I98" s="1431">
        <f>Бюд.р.!H282</f>
        <v>151.351</v>
      </c>
      <c r="J98" s="360">
        <v>37.5</v>
      </c>
      <c r="K98" s="189">
        <v>288.60000000000002</v>
      </c>
      <c r="L98" s="189">
        <v>202</v>
      </c>
      <c r="M98" s="384">
        <v>33</v>
      </c>
    </row>
    <row r="99" spans="1:13" ht="46.5" customHeight="1" x14ac:dyDescent="0.2">
      <c r="A99" s="192"/>
      <c r="B99" s="1398" t="s">
        <v>578</v>
      </c>
      <c r="C99" s="1445" t="str">
        <f>Бюд.р.!A302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99" s="1372">
        <v>968</v>
      </c>
      <c r="E99" s="2874" t="s">
        <v>462</v>
      </c>
      <c r="F99" s="1348" t="str">
        <f>F100</f>
        <v>795 05 00</v>
      </c>
      <c r="G99" s="1346"/>
      <c r="H99" s="1357"/>
      <c r="I99" s="1433">
        <f>I100</f>
        <v>125</v>
      </c>
      <c r="J99" s="361"/>
      <c r="K99" s="237"/>
      <c r="L99" s="237"/>
      <c r="M99" s="350"/>
    </row>
    <row r="100" spans="1:13" ht="24.75" customHeight="1" thickBot="1" x14ac:dyDescent="0.25">
      <c r="A100" s="192"/>
      <c r="B100" s="1397" t="s">
        <v>215</v>
      </c>
      <c r="C100" s="1452" t="str">
        <f>Бюд.р.!A303</f>
        <v>Закупка товаров, работ и услуг  для государственных (муниципальных) нужд</v>
      </c>
      <c r="D100" s="1361" t="s">
        <v>696</v>
      </c>
      <c r="E100" s="1362" t="s">
        <v>462</v>
      </c>
      <c r="F100" s="1362" t="s">
        <v>15</v>
      </c>
      <c r="G100" s="1363">
        <f>Бюд.р.!F303</f>
        <v>200</v>
      </c>
      <c r="H100" s="1364"/>
      <c r="I100" s="1436">
        <f>Бюд.р.!H303</f>
        <v>125</v>
      </c>
      <c r="J100" s="361"/>
      <c r="K100" s="237"/>
      <c r="L100" s="237"/>
      <c r="M100" s="350"/>
    </row>
    <row r="101" spans="1:13" ht="18" customHeight="1" thickBot="1" x14ac:dyDescent="0.25">
      <c r="A101" s="192"/>
      <c r="B101" s="2826" t="s">
        <v>526</v>
      </c>
      <c r="C101" s="2827" t="str">
        <f>Бюд.р.!A308</f>
        <v>НАЦИОНАЛЬНАЯ ЭКОНОМИКА</v>
      </c>
      <c r="D101" s="2828">
        <v>968</v>
      </c>
      <c r="E101" s="2846" t="s">
        <v>1026</v>
      </c>
      <c r="F101" s="2829"/>
      <c r="G101" s="2830"/>
      <c r="H101" s="2831"/>
      <c r="I101" s="2832">
        <f>I102+I105</f>
        <v>186.5</v>
      </c>
      <c r="J101" s="361"/>
      <c r="K101" s="237"/>
      <c r="L101" s="237"/>
      <c r="M101" s="350"/>
    </row>
    <row r="102" spans="1:13" ht="17.25" customHeight="1" x14ac:dyDescent="0.2">
      <c r="A102" s="192"/>
      <c r="B102" s="2833" t="s">
        <v>1265</v>
      </c>
      <c r="C102" s="2834" t="str">
        <f>Бюд.р.!A309</f>
        <v>Общеэкономические вопросы</v>
      </c>
      <c r="D102" s="2835">
        <v>968</v>
      </c>
      <c r="E102" s="2856" t="s">
        <v>1441</v>
      </c>
      <c r="F102" s="2836"/>
      <c r="G102" s="2837"/>
      <c r="H102" s="2838"/>
      <c r="I102" s="2839">
        <f>I103</f>
        <v>166.5</v>
      </c>
      <c r="J102" s="361"/>
      <c r="K102" s="237"/>
      <c r="L102" s="237"/>
      <c r="M102" s="350"/>
    </row>
    <row r="103" spans="1:13" ht="26.25" customHeight="1" x14ac:dyDescent="0.2">
      <c r="A103" s="192"/>
      <c r="B103" s="1398" t="s">
        <v>225</v>
      </c>
      <c r="C103" s="1445" t="str">
        <f>Бюд.р.!A310</f>
        <v>ВРЕМЕННОЕ ТРУДОУСТРОЙСТВО НЕСОВЕРШЕННОЛЕТНИХ В ВОЗРАСТЕ ОТ 14 ДО 18 ЛЕТ В СВОБОДНОЕ ОТ УЧЕБЫ ВРЕМЯ</v>
      </c>
      <c r="D103" s="1372">
        <v>968</v>
      </c>
      <c r="E103" s="2481" t="s">
        <v>1441</v>
      </c>
      <c r="F103" s="1348" t="s">
        <v>1065</v>
      </c>
      <c r="G103" s="1476"/>
      <c r="H103" s="1357"/>
      <c r="I103" s="1433">
        <f>I104</f>
        <v>166.5</v>
      </c>
      <c r="J103" s="361"/>
      <c r="K103" s="237"/>
      <c r="L103" s="237"/>
      <c r="M103" s="350"/>
    </row>
    <row r="104" spans="1:13" ht="16.5" customHeight="1" x14ac:dyDescent="0.2">
      <c r="A104" s="192"/>
      <c r="B104" s="1403" t="s">
        <v>215</v>
      </c>
      <c r="C104" s="1457" t="str">
        <f>Бюд.р.!A311</f>
        <v>Иные бюджетные ассигнования</v>
      </c>
      <c r="D104" s="1474">
        <v>968</v>
      </c>
      <c r="E104" s="2480" t="s">
        <v>1441</v>
      </c>
      <c r="F104" s="1340" t="s">
        <v>1065</v>
      </c>
      <c r="G104" s="1475">
        <f>Бюд.р.!F311</f>
        <v>800</v>
      </c>
      <c r="H104" s="1354"/>
      <c r="I104" s="1395">
        <f>Бюд.р.!H311</f>
        <v>166.5</v>
      </c>
      <c r="J104" s="361"/>
      <c r="K104" s="237"/>
      <c r="L104" s="237"/>
      <c r="M104" s="350"/>
    </row>
    <row r="105" spans="1:13" ht="26.25" customHeight="1" x14ac:dyDescent="0.2">
      <c r="A105" s="192"/>
      <c r="B105" s="2875" t="s">
        <v>8</v>
      </c>
      <c r="C105" s="2845" t="str">
        <f>Бюд.р.!A320</f>
        <v>Другие вопросы в области национальной экономики</v>
      </c>
      <c r="D105" s="2841">
        <v>968</v>
      </c>
      <c r="E105" s="2844" t="s">
        <v>1025</v>
      </c>
      <c r="F105" s="2461"/>
      <c r="G105" s="2842"/>
      <c r="H105" s="2843"/>
      <c r="I105" s="2463">
        <f>I106</f>
        <v>20</v>
      </c>
      <c r="J105" s="361"/>
      <c r="K105" s="237"/>
      <c r="L105" s="237"/>
      <c r="M105" s="350"/>
    </row>
    <row r="106" spans="1:13" ht="25.5" customHeight="1" x14ac:dyDescent="0.2">
      <c r="A106" s="192"/>
      <c r="B106" s="1398" t="s">
        <v>9</v>
      </c>
      <c r="C106" s="1445" t="str">
        <f>Бюд.р.!A321</f>
        <v>Ведомственная целевая программа по содействия развитию малого бизнеса на территории МО</v>
      </c>
      <c r="D106" s="1353">
        <v>968</v>
      </c>
      <c r="E106" s="1785" t="s">
        <v>1025</v>
      </c>
      <c r="F106" s="1329" t="str">
        <f>Бюд.р.!D321</f>
        <v>795 07 00</v>
      </c>
      <c r="G106" s="1469"/>
      <c r="H106" s="1309"/>
      <c r="I106" s="1429">
        <f>I107</f>
        <v>20</v>
      </c>
      <c r="J106" s="361"/>
      <c r="K106" s="237"/>
      <c r="L106" s="237"/>
      <c r="M106" s="350"/>
    </row>
    <row r="107" spans="1:13" ht="24.75" customHeight="1" thickBot="1" x14ac:dyDescent="0.25">
      <c r="A107" s="192"/>
      <c r="B107" s="1397" t="s">
        <v>215</v>
      </c>
      <c r="C107" s="1452" t="str">
        <f>Бюд.р.!A322</f>
        <v>Закупка товаров, работ и услуг  для государственных (муниципальных) нужд</v>
      </c>
      <c r="D107" s="1474">
        <v>968</v>
      </c>
      <c r="E107" s="1786" t="s">
        <v>1025</v>
      </c>
      <c r="F107" s="1340" t="str">
        <f>Бюд.р.!D322</f>
        <v>795 07 00</v>
      </c>
      <c r="G107" s="1475">
        <f>Бюд.р.!F322</f>
        <v>200</v>
      </c>
      <c r="H107" s="1354"/>
      <c r="I107" s="1395">
        <f>Бюд.р.!H322</f>
        <v>20</v>
      </c>
      <c r="J107" s="361"/>
      <c r="K107" s="237"/>
      <c r="L107" s="237"/>
      <c r="M107" s="350"/>
    </row>
    <row r="108" spans="1:13" ht="18.75" customHeight="1" thickBot="1" x14ac:dyDescent="0.25">
      <c r="A108" s="192"/>
      <c r="B108" s="2826" t="s">
        <v>745</v>
      </c>
      <c r="C108" s="2827" t="str">
        <f>Бюд.р.!A326</f>
        <v>ЖИЛИЩНО-КОММУНАЛЬНОЕ ХОЗЯЙСТВО</v>
      </c>
      <c r="D108" s="2828">
        <v>968</v>
      </c>
      <c r="E108" s="2846" t="s">
        <v>448</v>
      </c>
      <c r="F108" s="2829"/>
      <c r="G108" s="2830"/>
      <c r="H108" s="2831"/>
      <c r="I108" s="2832">
        <f>I109</f>
        <v>50864.907999999996</v>
      </c>
      <c r="J108" s="361"/>
      <c r="K108" s="237"/>
      <c r="L108" s="237"/>
      <c r="M108" s="350"/>
    </row>
    <row r="109" spans="1:13" ht="18" customHeight="1" x14ac:dyDescent="0.2">
      <c r="A109" s="192"/>
      <c r="B109" s="2833" t="s">
        <v>445</v>
      </c>
      <c r="C109" s="2834" t="str">
        <f>Бюд.р.!A327</f>
        <v>Благоустройство</v>
      </c>
      <c r="D109" s="2835">
        <v>968</v>
      </c>
      <c r="E109" s="2856" t="s">
        <v>450</v>
      </c>
      <c r="F109" s="2836"/>
      <c r="G109" s="2837"/>
      <c r="H109" s="2838"/>
      <c r="I109" s="2839">
        <f>I110+I113+I115+I117+I123+I125+I128+I132+I135+I137</f>
        <v>50864.907999999996</v>
      </c>
      <c r="J109" s="361"/>
      <c r="K109" s="237"/>
      <c r="L109" s="237"/>
      <c r="M109" s="350"/>
    </row>
    <row r="110" spans="1:13" ht="34.5" customHeight="1" x14ac:dyDescent="0.2">
      <c r="A110" s="193" t="s">
        <v>299</v>
      </c>
      <c r="B110" s="1398" t="s">
        <v>489</v>
      </c>
      <c r="C110" s="1371" t="str">
        <f>Бюд.р.!A329</f>
        <v>ТЕКУЩИЙ РЕМОНТ ПРИДОМОВЫХ ТЕРРИТОРИЙ И ДВОРОВЫХ ТЕРРИТОРИЙ , ВКЛЮЧАЯ ПРОЕЗДЫ И ВЪЕЗДЫ,ПЕШЕХОДНЫЕ ДОРОЖКИ</v>
      </c>
      <c r="D110" s="1344" t="s">
        <v>696</v>
      </c>
      <c r="E110" s="1345" t="s">
        <v>450</v>
      </c>
      <c r="F110" s="1345" t="s">
        <v>453</v>
      </c>
      <c r="G110" s="1346"/>
      <c r="H110" s="1357"/>
      <c r="I110" s="1433">
        <f>SUM(I111:I112)</f>
        <v>32851.471999999994</v>
      </c>
      <c r="J110" s="359">
        <f>SUM(J111:J111)</f>
        <v>0</v>
      </c>
      <c r="K110" s="186">
        <f>SUM(K111:K111)</f>
        <v>1764.8</v>
      </c>
      <c r="L110" s="186">
        <f>SUM(L111:L111)</f>
        <v>4118</v>
      </c>
      <c r="M110" s="383">
        <f>SUM(M111:M111)</f>
        <v>0</v>
      </c>
    </row>
    <row r="111" spans="1:13" ht="25.5" customHeight="1" x14ac:dyDescent="0.2">
      <c r="A111" s="194" t="s">
        <v>212</v>
      </c>
      <c r="B111" s="1397" t="s">
        <v>215</v>
      </c>
      <c r="C111" s="1452" t="str">
        <f>Бюд.р.!A330</f>
        <v>Закупка товаров, работ и услуг  для государственных (муниципальных) нужд</v>
      </c>
      <c r="D111" s="1310" t="s">
        <v>696</v>
      </c>
      <c r="E111" s="1311" t="s">
        <v>450</v>
      </c>
      <c r="F111" s="1311" t="s">
        <v>453</v>
      </c>
      <c r="G111" s="1312">
        <f>Бюд.р.!F330</f>
        <v>200</v>
      </c>
      <c r="H111" s="1313"/>
      <c r="I111" s="1427">
        <f>Бюд.р.!H330</f>
        <v>32309.071999999996</v>
      </c>
      <c r="J111" s="360"/>
      <c r="K111" s="189">
        <v>1764.8</v>
      </c>
      <c r="L111" s="189">
        <v>4118</v>
      </c>
      <c r="M111" s="384"/>
    </row>
    <row r="112" spans="1:13" ht="13.5" customHeight="1" x14ac:dyDescent="0.2">
      <c r="A112" s="194"/>
      <c r="B112" s="1397" t="s">
        <v>216</v>
      </c>
      <c r="C112" s="1452" t="str">
        <f>Бюд.р.!A335</f>
        <v>Иные бюджетные ассигнования</v>
      </c>
      <c r="D112" s="1310" t="s">
        <v>696</v>
      </c>
      <c r="E112" s="1311" t="s">
        <v>450</v>
      </c>
      <c r="F112" s="1311" t="s">
        <v>453</v>
      </c>
      <c r="G112" s="1312">
        <f>Бюд.р.!F335</f>
        <v>800</v>
      </c>
      <c r="H112" s="1313"/>
      <c r="I112" s="1427">
        <f>Бюд.р.!H335</f>
        <v>542.4</v>
      </c>
      <c r="J112" s="360"/>
      <c r="K112" s="189"/>
      <c r="L112" s="189"/>
      <c r="M112" s="384"/>
    </row>
    <row r="113" spans="1:13" ht="24" customHeight="1" x14ac:dyDescent="0.2">
      <c r="A113" s="208"/>
      <c r="B113" s="1398" t="s">
        <v>1373</v>
      </c>
      <c r="C113" s="1371" t="str">
        <f>Бюд.р.!A339</f>
        <v>ОРГАНИЗАЦИЯ ДОПОЛНИТЕЛЬНЫХ  ПАРКОВОЧНЫХ МЕСТ НА ДВОРОВЫХ ТЕРРИТОРИЯХ</v>
      </c>
      <c r="D113" s="1344" t="s">
        <v>696</v>
      </c>
      <c r="E113" s="1345" t="s">
        <v>450</v>
      </c>
      <c r="F113" s="1345" t="s">
        <v>454</v>
      </c>
      <c r="G113" s="1346"/>
      <c r="H113" s="1320"/>
      <c r="I113" s="1433">
        <f>I114</f>
        <v>468.53700000000003</v>
      </c>
      <c r="J113" s="359">
        <f>J114</f>
        <v>0</v>
      </c>
      <c r="K113" s="186">
        <f>K114</f>
        <v>0</v>
      </c>
      <c r="L113" s="186">
        <f>L114</f>
        <v>0</v>
      </c>
      <c r="M113" s="383">
        <f>M114</f>
        <v>0</v>
      </c>
    </row>
    <row r="114" spans="1:13" ht="25.5" customHeight="1" x14ac:dyDescent="0.2">
      <c r="A114" s="208"/>
      <c r="B114" s="1397" t="s">
        <v>215</v>
      </c>
      <c r="C114" s="1452" t="str">
        <f>Бюд.р.!A340</f>
        <v>Закупка товаров, работ и услуг  для государственных (муниципальных) нужд</v>
      </c>
      <c r="D114" s="1310" t="s">
        <v>696</v>
      </c>
      <c r="E114" s="1311" t="s">
        <v>450</v>
      </c>
      <c r="F114" s="1311" t="s">
        <v>454</v>
      </c>
      <c r="G114" s="1312">
        <f>Бюд.р.!F340</f>
        <v>200</v>
      </c>
      <c r="H114" s="1324"/>
      <c r="I114" s="1427">
        <f>Бюд.р.!H340</f>
        <v>468.53700000000003</v>
      </c>
      <c r="J114" s="360">
        <v>0</v>
      </c>
      <c r="K114" s="189">
        <v>0</v>
      </c>
      <c r="L114" s="189">
        <v>0</v>
      </c>
      <c r="M114" s="384">
        <v>0</v>
      </c>
    </row>
    <row r="115" spans="1:13" ht="12.75" customHeight="1" x14ac:dyDescent="0.2">
      <c r="A115" s="193" t="s">
        <v>496</v>
      </c>
      <c r="B115" s="1398" t="s">
        <v>1374</v>
      </c>
      <c r="C115" s="1441" t="str">
        <f>Бюд.р.!A344</f>
        <v xml:space="preserve">УСТАНОВКА,СОДЕРЖАНИЕ И РЕМОНТ ОГРАЖДЕНИЙ ГАЗОНОВ </v>
      </c>
      <c r="D115" s="1344" t="s">
        <v>696</v>
      </c>
      <c r="E115" s="1345" t="s">
        <v>450</v>
      </c>
      <c r="F115" s="1345" t="s">
        <v>455</v>
      </c>
      <c r="G115" s="1346"/>
      <c r="H115" s="1357"/>
      <c r="I115" s="1433">
        <f>SUM(I116:I116)</f>
        <v>2324.3319999999999</v>
      </c>
      <c r="J115" s="359">
        <f>SUM(J116:J116)</f>
        <v>0</v>
      </c>
      <c r="K115" s="186">
        <f>SUM(K116:K116)</f>
        <v>1096.9000000000001</v>
      </c>
      <c r="L115" s="186">
        <f>SUM(L116:L116)</f>
        <v>2596.1</v>
      </c>
      <c r="M115" s="383">
        <f>SUM(M116:M116)</f>
        <v>0</v>
      </c>
    </row>
    <row r="116" spans="1:13" ht="24" customHeight="1" x14ac:dyDescent="0.2">
      <c r="A116" s="193"/>
      <c r="B116" s="1397" t="s">
        <v>215</v>
      </c>
      <c r="C116" s="1452" t="str">
        <f>Бюд.р.!A345</f>
        <v>Закупка товаров, работ и услуг  для государственных (муниципальных) нужд</v>
      </c>
      <c r="D116" s="1310" t="s">
        <v>696</v>
      </c>
      <c r="E116" s="1311" t="s">
        <v>450</v>
      </c>
      <c r="F116" s="1311" t="s">
        <v>455</v>
      </c>
      <c r="G116" s="1312">
        <f>Бюд.р.!F345</f>
        <v>200</v>
      </c>
      <c r="H116" s="1309"/>
      <c r="I116" s="1427">
        <f>Бюд.р.!H345</f>
        <v>2324.3319999999999</v>
      </c>
      <c r="J116" s="360">
        <v>0</v>
      </c>
      <c r="K116" s="189">
        <v>1096.9000000000001</v>
      </c>
      <c r="L116" s="189">
        <v>2596.1</v>
      </c>
      <c r="M116" s="384">
        <v>0</v>
      </c>
    </row>
    <row r="117" spans="1:13" ht="45.75" customHeight="1" x14ac:dyDescent="0.2">
      <c r="A117" s="193"/>
      <c r="B117" s="1398" t="s">
        <v>1375</v>
      </c>
      <c r="C117" s="1441" t="str">
        <f>Бюд.р.!A355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D117" s="1344" t="s">
        <v>696</v>
      </c>
      <c r="E117" s="1345" t="s">
        <v>450</v>
      </c>
      <c r="F117" s="1345" t="s">
        <v>457</v>
      </c>
      <c r="G117" s="1346"/>
      <c r="H117" s="1357"/>
      <c r="I117" s="1433">
        <f>I118</f>
        <v>1852.972</v>
      </c>
      <c r="J117" s="359">
        <f>J118</f>
        <v>0</v>
      </c>
      <c r="K117" s="186">
        <f>K118</f>
        <v>0</v>
      </c>
      <c r="L117" s="186">
        <f>L118</f>
        <v>300</v>
      </c>
      <c r="M117" s="383">
        <f>M118</f>
        <v>0</v>
      </c>
    </row>
    <row r="118" spans="1:13" ht="24" customHeight="1" x14ac:dyDescent="0.2">
      <c r="A118" s="193"/>
      <c r="B118" s="1405" t="s">
        <v>215</v>
      </c>
      <c r="C118" s="1452" t="str">
        <f>Бюд.р.!A356</f>
        <v>Закупка товаров, работ и услуг  для государственных (муниципальных) нужд</v>
      </c>
      <c r="D118" s="1310" t="s">
        <v>696</v>
      </c>
      <c r="E118" s="1311" t="s">
        <v>450</v>
      </c>
      <c r="F118" s="1311" t="s">
        <v>457</v>
      </c>
      <c r="G118" s="1312">
        <f>Бюд.р.!F356</f>
        <v>200</v>
      </c>
      <c r="H118" s="1309"/>
      <c r="I118" s="1427">
        <f>Бюд.р.!H356</f>
        <v>1852.972</v>
      </c>
      <c r="J118" s="360">
        <v>0</v>
      </c>
      <c r="K118" s="189">
        <v>0</v>
      </c>
      <c r="L118" s="189">
        <v>300</v>
      </c>
      <c r="M118" s="384">
        <v>0</v>
      </c>
    </row>
    <row r="119" spans="1:13" ht="22.5" hidden="1" customHeight="1" x14ac:dyDescent="0.2">
      <c r="A119" s="193" t="s">
        <v>786</v>
      </c>
      <c r="B119" s="2704"/>
      <c r="C119" s="1441" t="str">
        <f>Бюд.р.!A364</f>
        <v>ОБОРУДОВАНИЕ КОНТЕЙНЕРНЫХ ПЛОЩАДОК НА ТЕРРИТОРИЯХ ДВОРОВ</v>
      </c>
      <c r="D119" s="1306" t="s">
        <v>696</v>
      </c>
      <c r="E119" s="1307" t="s">
        <v>450</v>
      </c>
      <c r="F119" s="1307" t="s">
        <v>518</v>
      </c>
      <c r="G119" s="1308"/>
      <c r="H119" s="1309"/>
      <c r="I119" s="1429">
        <f>I120</f>
        <v>0</v>
      </c>
      <c r="J119" s="359">
        <f>J120</f>
        <v>0</v>
      </c>
      <c r="K119" s="186">
        <f>K120</f>
        <v>1087.0999999999999</v>
      </c>
      <c r="L119" s="186">
        <f>L120</f>
        <v>1666</v>
      </c>
      <c r="M119" s="383">
        <f>M120</f>
        <v>0</v>
      </c>
    </row>
    <row r="120" spans="1:13" ht="24" hidden="1" customHeight="1" x14ac:dyDescent="0.2">
      <c r="A120" s="52" t="s">
        <v>787</v>
      </c>
      <c r="B120" s="2704"/>
      <c r="C120" s="1452" t="str">
        <f>Бюд.р.!A365</f>
        <v>Закупка товаров, работ и услуг  для государственных (муниципальных) нужд</v>
      </c>
      <c r="D120" s="1310" t="s">
        <v>696</v>
      </c>
      <c r="E120" s="1311" t="s">
        <v>450</v>
      </c>
      <c r="F120" s="1311" t="s">
        <v>518</v>
      </c>
      <c r="G120" s="1312">
        <f>Бюд.р.!F365</f>
        <v>200</v>
      </c>
      <c r="H120" s="1313"/>
      <c r="I120" s="1427">
        <f>Бюд.р.!H365</f>
        <v>0</v>
      </c>
      <c r="J120" s="360">
        <v>0</v>
      </c>
      <c r="K120" s="189">
        <v>1087.0999999999999</v>
      </c>
      <c r="L120" s="189">
        <v>1666</v>
      </c>
      <c r="M120" s="384">
        <v>0</v>
      </c>
    </row>
    <row r="121" spans="1:13" ht="22.5" hidden="1" x14ac:dyDescent="0.2">
      <c r="A121" s="193" t="s">
        <v>789</v>
      </c>
      <c r="B121" s="1398"/>
      <c r="C121" s="1371" t="s">
        <v>519</v>
      </c>
      <c r="D121" s="1306" t="s">
        <v>696</v>
      </c>
      <c r="E121" s="1307" t="s">
        <v>450</v>
      </c>
      <c r="F121" s="1307" t="s">
        <v>430</v>
      </c>
      <c r="G121" s="1308"/>
      <c r="H121" s="1309"/>
      <c r="I121" s="1429">
        <f>I122</f>
        <v>0</v>
      </c>
      <c r="J121" s="359">
        <f>J122</f>
        <v>0</v>
      </c>
      <c r="K121" s="186">
        <f>K122</f>
        <v>500</v>
      </c>
      <c r="L121" s="186">
        <f>L122</f>
        <v>300</v>
      </c>
      <c r="M121" s="383">
        <f>M122</f>
        <v>0</v>
      </c>
    </row>
    <row r="122" spans="1:13" ht="14.25" hidden="1" customHeight="1" x14ac:dyDescent="0.2">
      <c r="A122" s="52" t="s">
        <v>790</v>
      </c>
      <c r="B122" s="1405"/>
      <c r="C122" s="1452" t="str">
        <f>Бюд.р.!A372</f>
        <v>Прочая закупка товаров, работ и услуг для муниципальных нужд</v>
      </c>
      <c r="D122" s="1310" t="s">
        <v>696</v>
      </c>
      <c r="E122" s="1311" t="s">
        <v>450</v>
      </c>
      <c r="F122" s="1311" t="s">
        <v>430</v>
      </c>
      <c r="G122" s="1312">
        <f>Бюд.р.!F372</f>
        <v>244</v>
      </c>
      <c r="H122" s="1313"/>
      <c r="I122" s="1427">
        <f>Бюд.р.!H372</f>
        <v>0</v>
      </c>
      <c r="J122" s="360">
        <v>0</v>
      </c>
      <c r="K122" s="189">
        <v>500</v>
      </c>
      <c r="L122" s="189">
        <v>300</v>
      </c>
      <c r="M122" s="384">
        <v>0</v>
      </c>
    </row>
    <row r="123" spans="1:13" ht="33.75" x14ac:dyDescent="0.2">
      <c r="A123" s="342"/>
      <c r="B123" s="1409" t="s">
        <v>1376</v>
      </c>
      <c r="C123" s="1371" t="str">
        <f>Бюд.р.!A375</f>
        <v>ЛИКВИДАЦИЯ НЕСАНКЦИОНИРОВАННЫХ СВАЛОК БЫТОВЫХ ОТХОДОВ, МУСОРА, УБОРКА ТЕРРИТОРИЙ, ВОДНЫХ АКВАТОРИЙ, ТУПИКОВ И ПРОЕЗДОВ</v>
      </c>
      <c r="D123" s="1344" t="s">
        <v>696</v>
      </c>
      <c r="E123" s="1345" t="s">
        <v>450</v>
      </c>
      <c r="F123" s="1345" t="s">
        <v>1154</v>
      </c>
      <c r="G123" s="1346"/>
      <c r="H123" s="1320"/>
      <c r="I123" s="1433">
        <f>I124</f>
        <v>198.17000000000002</v>
      </c>
      <c r="J123" s="359">
        <f>J124</f>
        <v>0</v>
      </c>
      <c r="K123" s="186">
        <f>K124</f>
        <v>500</v>
      </c>
      <c r="L123" s="186">
        <f>L124</f>
        <v>297.60000000000002</v>
      </c>
      <c r="M123" s="383">
        <f>M124</f>
        <v>0</v>
      </c>
    </row>
    <row r="124" spans="1:13" ht="25.5" customHeight="1" x14ac:dyDescent="0.2">
      <c r="A124" s="342"/>
      <c r="B124" s="1407" t="s">
        <v>215</v>
      </c>
      <c r="C124" s="1452" t="str">
        <f>Бюд.р.!A376</f>
        <v>Закупка товаров, работ и услуг  для государственных (муниципальных) нужд</v>
      </c>
      <c r="D124" s="1310" t="s">
        <v>696</v>
      </c>
      <c r="E124" s="1311" t="s">
        <v>450</v>
      </c>
      <c r="F124" s="1311" t="s">
        <v>1154</v>
      </c>
      <c r="G124" s="1312">
        <f>Бюд.р.!F376</f>
        <v>200</v>
      </c>
      <c r="H124" s="1324"/>
      <c r="I124" s="1427">
        <f>Бюд.р.!H376</f>
        <v>198.17000000000002</v>
      </c>
      <c r="J124" s="360">
        <v>0</v>
      </c>
      <c r="K124" s="189">
        <v>500</v>
      </c>
      <c r="L124" s="189">
        <v>297.60000000000002</v>
      </c>
      <c r="M124" s="384">
        <v>0</v>
      </c>
    </row>
    <row r="125" spans="1:13" ht="39" customHeight="1" x14ac:dyDescent="0.2">
      <c r="A125" s="342"/>
      <c r="B125" s="1409" t="s">
        <v>1377</v>
      </c>
      <c r="C125" s="1445" t="str">
        <f>Бюд.р.!A384</f>
        <v>ОЗЕЛЕНЕНИЕ , СОДЕРЖАНИЕ И РЕМОНТ ТЕРРИТОРИЙ  ЗЕЛЕНЫХ НАСАЖДЕНИЙ ВНУТРИКВАРТАЛЬНОГО ОЗЕЛЕНЕНИЯ, КОМПЕНСАЦИОННОЕ ОЗЕЛЕНЕНИЕ</v>
      </c>
      <c r="D125" s="1344" t="s">
        <v>696</v>
      </c>
      <c r="E125" s="1345" t="s">
        <v>450</v>
      </c>
      <c r="F125" s="1345" t="s">
        <v>791</v>
      </c>
      <c r="G125" s="1346"/>
      <c r="H125" s="1320"/>
      <c r="I125" s="1433">
        <f>SUM(I126:I127)</f>
        <v>7445.0240000000013</v>
      </c>
      <c r="J125" s="359">
        <f>SUM(J126:J127)</f>
        <v>0</v>
      </c>
      <c r="K125" s="186">
        <f>SUM(K126:K127)</f>
        <v>3963.7</v>
      </c>
      <c r="L125" s="186">
        <f>SUM(L126:L127)</f>
        <v>7464.6</v>
      </c>
      <c r="M125" s="383">
        <f>SUM(M126:M127)</f>
        <v>0</v>
      </c>
    </row>
    <row r="126" spans="1:13" ht="24.75" customHeight="1" thickBot="1" x14ac:dyDescent="0.25">
      <c r="A126" s="342"/>
      <c r="B126" s="1407" t="s">
        <v>215</v>
      </c>
      <c r="C126" s="1452" t="str">
        <f>Бюд.р.!A385</f>
        <v>Закупка товаров, работ и услуг  для государственных (муниципальных) нужд</v>
      </c>
      <c r="D126" s="1310" t="s">
        <v>696</v>
      </c>
      <c r="E126" s="1311" t="s">
        <v>450</v>
      </c>
      <c r="F126" s="1311" t="s">
        <v>791</v>
      </c>
      <c r="G126" s="1312">
        <f>Бюд.р.!F385</f>
        <v>200</v>
      </c>
      <c r="H126" s="1324"/>
      <c r="I126" s="1427">
        <f>Бюд.р.!H385</f>
        <v>7445.0240000000013</v>
      </c>
      <c r="J126" s="360">
        <v>0</v>
      </c>
      <c r="K126" s="189">
        <v>2852.2</v>
      </c>
      <c r="L126" s="189">
        <v>4871.1000000000004</v>
      </c>
      <c r="M126" s="384">
        <v>0</v>
      </c>
    </row>
    <row r="127" spans="1:13" ht="36" hidden="1" customHeight="1" thickBot="1" x14ac:dyDescent="0.25">
      <c r="A127" s="342"/>
      <c r="B127" s="1407"/>
      <c r="C127" s="1352" t="s">
        <v>886</v>
      </c>
      <c r="D127" s="1310" t="s">
        <v>696</v>
      </c>
      <c r="E127" s="1311" t="s">
        <v>450</v>
      </c>
      <c r="F127" s="1311" t="s">
        <v>791</v>
      </c>
      <c r="G127" s="1312" t="s">
        <v>516</v>
      </c>
      <c r="H127" s="1324"/>
      <c r="I127" s="1427">
        <f>Бюд.р.!H389</f>
        <v>0</v>
      </c>
      <c r="J127" s="360">
        <v>0</v>
      </c>
      <c r="K127" s="189">
        <v>1111.5</v>
      </c>
      <c r="L127" s="189">
        <v>2593.5</v>
      </c>
      <c r="M127" s="384">
        <v>0</v>
      </c>
    </row>
    <row r="128" spans="1:13" ht="39" customHeight="1" x14ac:dyDescent="0.2">
      <c r="A128" s="211" t="s">
        <v>736</v>
      </c>
      <c r="B128" s="1398" t="s">
        <v>1378</v>
      </c>
      <c r="C128" s="1445" t="str">
        <f>Бюд.р.!A394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D128" s="1344" t="s">
        <v>696</v>
      </c>
      <c r="E128" s="1345" t="s">
        <v>450</v>
      </c>
      <c r="F128" s="1345" t="s">
        <v>795</v>
      </c>
      <c r="G128" s="1346"/>
      <c r="H128" s="1357"/>
      <c r="I128" s="1433">
        <f>I129</f>
        <v>296.95</v>
      </c>
      <c r="J128" s="359">
        <f>J129</f>
        <v>0</v>
      </c>
      <c r="K128" s="186">
        <f>K129</f>
        <v>357.1</v>
      </c>
      <c r="L128" s="186">
        <f>L129</f>
        <v>560.5</v>
      </c>
      <c r="M128" s="383">
        <f>M129</f>
        <v>0</v>
      </c>
    </row>
    <row r="129" spans="1:13" ht="25.5" customHeight="1" x14ac:dyDescent="0.2">
      <c r="A129" s="52" t="s">
        <v>737</v>
      </c>
      <c r="B129" s="1405" t="s">
        <v>215</v>
      </c>
      <c r="C129" s="1452" t="str">
        <f>Бюд.р.!A395</f>
        <v>Закупка товаров, работ и услуг  для государственных (муниципальных) нужд</v>
      </c>
      <c r="D129" s="1310" t="s">
        <v>696</v>
      </c>
      <c r="E129" s="1311" t="s">
        <v>450</v>
      </c>
      <c r="F129" s="1311" t="s">
        <v>795</v>
      </c>
      <c r="G129" s="1312">
        <f>Бюд.р.!F395</f>
        <v>200</v>
      </c>
      <c r="H129" s="1313"/>
      <c r="I129" s="1427">
        <f>Бюд.р.!H395</f>
        <v>296.95</v>
      </c>
      <c r="J129" s="360">
        <v>0</v>
      </c>
      <c r="K129" s="189">
        <v>357.1</v>
      </c>
      <c r="L129" s="189">
        <v>560.5</v>
      </c>
      <c r="M129" s="384">
        <v>0</v>
      </c>
    </row>
    <row r="130" spans="1:13" ht="33.75" hidden="1" customHeight="1" x14ac:dyDescent="0.2">
      <c r="A130" s="1297"/>
      <c r="B130" s="1406" t="s">
        <v>1362</v>
      </c>
      <c r="C130" s="1445" t="s">
        <v>1175</v>
      </c>
      <c r="D130" s="1372">
        <v>968</v>
      </c>
      <c r="E130" s="1307" t="s">
        <v>450</v>
      </c>
      <c r="F130" s="1348" t="str">
        <f>F131</f>
        <v>600 03 04</v>
      </c>
      <c r="G130" s="1373"/>
      <c r="H130" s="1313"/>
      <c r="I130" s="1427">
        <f>I131</f>
        <v>0</v>
      </c>
      <c r="J130" s="360"/>
      <c r="K130" s="189"/>
      <c r="L130" s="189"/>
      <c r="M130" s="384"/>
    </row>
    <row r="131" spans="1:13" ht="26.25" hidden="1" customHeight="1" x14ac:dyDescent="0.2">
      <c r="A131" s="1297"/>
      <c r="B131" s="1405" t="s">
        <v>1363</v>
      </c>
      <c r="C131" s="1452" t="str">
        <f>Бюд.р.!A402</f>
        <v>Закупка товаров, работ и услуг  для государственных (муниципальных) нужд</v>
      </c>
      <c r="D131" s="1310" t="s">
        <v>696</v>
      </c>
      <c r="E131" s="1311" t="s">
        <v>450</v>
      </c>
      <c r="F131" s="1311" t="s">
        <v>1174</v>
      </c>
      <c r="G131" s="1312">
        <f>Бюд.р.!F402</f>
        <v>200</v>
      </c>
      <c r="H131" s="1374"/>
      <c r="I131" s="1427">
        <f>Бюд.р.!H402</f>
        <v>0</v>
      </c>
      <c r="J131" s="360"/>
      <c r="K131" s="189"/>
      <c r="L131" s="189"/>
      <c r="M131" s="384"/>
    </row>
    <row r="132" spans="1:13" ht="22.5" x14ac:dyDescent="0.2">
      <c r="A132" s="212"/>
      <c r="B132" s="1409" t="s">
        <v>1379</v>
      </c>
      <c r="C132" s="1445" t="str">
        <f>Бюд.р.!A406</f>
        <v xml:space="preserve">ОРГАНИЗАЦИЯ УЧЕТА ЗЕЛЕНЫХ НАСАЖДЕНИЙ ВНУТРИКВАРТАЛЬНОГО ОЗЕЛЕНЕНИЯ </v>
      </c>
      <c r="D132" s="1372">
        <v>968</v>
      </c>
      <c r="E132" s="1345" t="s">
        <v>450</v>
      </c>
      <c r="F132" s="1348" t="str">
        <f>F133</f>
        <v>600 03 05</v>
      </c>
      <c r="G132" s="2876"/>
      <c r="H132" s="2867"/>
      <c r="I132" s="1433">
        <f>I133</f>
        <v>150</v>
      </c>
      <c r="J132" s="361"/>
      <c r="K132" s="237"/>
      <c r="L132" s="237"/>
      <c r="M132" s="350"/>
    </row>
    <row r="133" spans="1:13" ht="27" customHeight="1" x14ac:dyDescent="0.2">
      <c r="A133" s="212"/>
      <c r="B133" s="1405" t="s">
        <v>215</v>
      </c>
      <c r="C133" s="1452" t="str">
        <f>Бюд.р.!A407</f>
        <v>Закупка товаров, работ и услуг  для государственных (муниципальных) нужд</v>
      </c>
      <c r="D133" s="1310" t="s">
        <v>696</v>
      </c>
      <c r="E133" s="1311" t="s">
        <v>450</v>
      </c>
      <c r="F133" s="1311" t="s">
        <v>1157</v>
      </c>
      <c r="G133" s="1312">
        <f>Бюд.р.!F407</f>
        <v>200</v>
      </c>
      <c r="H133" s="1374"/>
      <c r="I133" s="1427">
        <f>Бюд.р.!H407</f>
        <v>150</v>
      </c>
      <c r="J133" s="361"/>
      <c r="K133" s="237"/>
      <c r="L133" s="237"/>
      <c r="M133" s="350"/>
    </row>
    <row r="134" spans="1:13" ht="12.75" hidden="1" customHeight="1" x14ac:dyDescent="0.2">
      <c r="A134" s="212"/>
      <c r="B134" s="1424"/>
      <c r="C134" s="1456" t="s">
        <v>1159</v>
      </c>
      <c r="D134" s="1367" t="s">
        <v>696</v>
      </c>
      <c r="E134" s="1368" t="s">
        <v>450</v>
      </c>
      <c r="F134" s="1368" t="s">
        <v>796</v>
      </c>
      <c r="G134" s="1375"/>
      <c r="H134" s="1376"/>
      <c r="I134" s="1438" t="e">
        <f>I135+I137+#REF!</f>
        <v>#REF!</v>
      </c>
      <c r="J134" s="153" t="e">
        <f>#REF!+#REF!</f>
        <v>#REF!</v>
      </c>
      <c r="K134" s="151" t="e">
        <f>#REF!+#REF!</f>
        <v>#REF!</v>
      </c>
      <c r="L134" s="151" t="e">
        <f>#REF!+#REF!</f>
        <v>#REF!</v>
      </c>
      <c r="M134" s="351" t="e">
        <f>#REF!+#REF!</f>
        <v>#REF!</v>
      </c>
    </row>
    <row r="135" spans="1:13" ht="23.25" customHeight="1" x14ac:dyDescent="0.2">
      <c r="A135" s="212"/>
      <c r="B135" s="1409" t="s">
        <v>1380</v>
      </c>
      <c r="C135" s="1445" t="str">
        <f>Бюд.р.!A412</f>
        <v>СОЗДАНИЕ ЗОН ОТДЫХА, В ТОМ ЧИСЛЕ ОБУСТРОЙСТВО, СОДЕРЖАНИЕ И УБОРКА ТЕРРИТОРИЙ ДЕТСКИХ ПЛОЩАДОК</v>
      </c>
      <c r="D135" s="1344" t="s">
        <v>696</v>
      </c>
      <c r="E135" s="1345" t="s">
        <v>450</v>
      </c>
      <c r="F135" s="1345" t="s">
        <v>797</v>
      </c>
      <c r="G135" s="2876"/>
      <c r="H135" s="2867"/>
      <c r="I135" s="1433">
        <f>I136</f>
        <v>4133.3819999999996</v>
      </c>
      <c r="J135" s="359">
        <f>J136</f>
        <v>0</v>
      </c>
      <c r="K135" s="186">
        <f>K136</f>
        <v>0</v>
      </c>
      <c r="L135" s="186">
        <f>L136</f>
        <v>0</v>
      </c>
      <c r="M135" s="383">
        <f>M136</f>
        <v>0</v>
      </c>
    </row>
    <row r="136" spans="1:13" ht="25.5" customHeight="1" x14ac:dyDescent="0.2">
      <c r="A136" s="212"/>
      <c r="B136" s="1405" t="s">
        <v>215</v>
      </c>
      <c r="C136" s="1452" t="str">
        <f>Бюд.р.!A413</f>
        <v>Закупка товаров, работ и услуг  для государственных (муниципальных) нужд</v>
      </c>
      <c r="D136" s="1310" t="s">
        <v>696</v>
      </c>
      <c r="E136" s="1311" t="s">
        <v>450</v>
      </c>
      <c r="F136" s="1311" t="s">
        <v>797</v>
      </c>
      <c r="G136" s="1312">
        <f>Бюд.р.!F413</f>
        <v>200</v>
      </c>
      <c r="H136" s="1374"/>
      <c r="I136" s="1427">
        <f>Бюд.р.!H413</f>
        <v>4133.3819999999996</v>
      </c>
      <c r="J136" s="360">
        <v>0</v>
      </c>
      <c r="K136" s="189">
        <v>0</v>
      </c>
      <c r="L136" s="189">
        <v>0</v>
      </c>
      <c r="M136" s="384">
        <v>0</v>
      </c>
    </row>
    <row r="137" spans="1:13" ht="23.25" customHeight="1" x14ac:dyDescent="0.2">
      <c r="A137" s="212"/>
      <c r="B137" s="1409" t="s">
        <v>1381</v>
      </c>
      <c r="C137" s="1445" t="str">
        <f>Бюд.р.!A420</f>
        <v>ОБУСТРОЙСТВО, СОДЕРЖАНИЕ И УБОРКА ТЕРРИТОРИЙ СПОРТИВНЫХ ПЛОЩАДОК</v>
      </c>
      <c r="D137" s="1344" t="s">
        <v>696</v>
      </c>
      <c r="E137" s="1345" t="s">
        <v>450</v>
      </c>
      <c r="F137" s="1345" t="s">
        <v>814</v>
      </c>
      <c r="G137" s="2876"/>
      <c r="H137" s="2867"/>
      <c r="I137" s="1433">
        <f>I138</f>
        <v>1144.069</v>
      </c>
      <c r="J137" s="360"/>
      <c r="K137" s="189"/>
      <c r="L137" s="189"/>
      <c r="M137" s="384"/>
    </row>
    <row r="138" spans="1:13" ht="24.75" customHeight="1" thickBot="1" x14ac:dyDescent="0.25">
      <c r="A138" s="212"/>
      <c r="B138" s="1405" t="s">
        <v>215</v>
      </c>
      <c r="C138" s="1452" t="str">
        <f>Бюд.р.!A421</f>
        <v>Закупка товаров, работ и услуг  для государственных (муниципальных) нужд</v>
      </c>
      <c r="D138" s="1310" t="s">
        <v>696</v>
      </c>
      <c r="E138" s="1311" t="s">
        <v>450</v>
      </c>
      <c r="F138" s="1311" t="s">
        <v>814</v>
      </c>
      <c r="G138" s="1312">
        <f>Бюд.р.!F421</f>
        <v>200</v>
      </c>
      <c r="H138" s="1374"/>
      <c r="I138" s="1427">
        <f>Бюд.р.!H421</f>
        <v>1144.069</v>
      </c>
      <c r="J138" s="360"/>
      <c r="K138" s="189"/>
      <c r="L138" s="189"/>
      <c r="M138" s="384"/>
    </row>
    <row r="139" spans="1:13" ht="14.25" customHeight="1" thickBot="1" x14ac:dyDescent="0.25">
      <c r="A139" s="212"/>
      <c r="B139" s="2826" t="s">
        <v>349</v>
      </c>
      <c r="C139" s="2827" t="str">
        <f>Бюд.р.!A440</f>
        <v>ОБРАЗОВАНИЕ</v>
      </c>
      <c r="D139" s="2828">
        <v>968</v>
      </c>
      <c r="E139" s="2846" t="s">
        <v>412</v>
      </c>
      <c r="F139" s="2829"/>
      <c r="G139" s="2830"/>
      <c r="H139" s="2831"/>
      <c r="I139" s="2832">
        <f>I140+I145+I156</f>
        <v>4271.1000000000004</v>
      </c>
      <c r="J139" s="360"/>
      <c r="K139" s="189"/>
      <c r="L139" s="189"/>
      <c r="M139" s="384"/>
    </row>
    <row r="140" spans="1:13" ht="27.75" customHeight="1" x14ac:dyDescent="0.2">
      <c r="A140" s="212"/>
      <c r="B140" s="2833" t="s">
        <v>805</v>
      </c>
      <c r="C140" s="2845" t="str">
        <f>Бюд.р.!A441</f>
        <v xml:space="preserve">Профессиональная подготовка, переподготовка и повышение квалификации
</v>
      </c>
      <c r="D140" s="2841">
        <v>968</v>
      </c>
      <c r="E140" s="2844" t="s">
        <v>1192</v>
      </c>
      <c r="F140" s="2461"/>
      <c r="G140" s="2842"/>
      <c r="H140" s="2843"/>
      <c r="I140" s="2463">
        <f>I141+I143</f>
        <v>255</v>
      </c>
      <c r="J140" s="360"/>
      <c r="K140" s="189"/>
      <c r="L140" s="189"/>
      <c r="M140" s="384"/>
    </row>
    <row r="141" spans="1:13" ht="36.75" customHeight="1" x14ac:dyDescent="0.2">
      <c r="A141" s="212"/>
      <c r="B141" s="1409" t="s">
        <v>109</v>
      </c>
      <c r="C141" s="1441" t="str">
        <f>Бюд.р.!A444</f>
        <v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D141" s="1344" t="s">
        <v>696</v>
      </c>
      <c r="E141" s="1345" t="s">
        <v>1192</v>
      </c>
      <c r="F141" s="1345" t="str">
        <f>Бюд.р.!D444</f>
        <v>428 01 01</v>
      </c>
      <c r="G141" s="1346"/>
      <c r="H141" s="1357"/>
      <c r="I141" s="1433">
        <f>I142</f>
        <v>17</v>
      </c>
      <c r="J141" s="365"/>
      <c r="K141" s="349"/>
      <c r="L141" s="349"/>
      <c r="M141" s="388"/>
    </row>
    <row r="142" spans="1:13" ht="24" customHeight="1" x14ac:dyDescent="0.2">
      <c r="A142" s="212"/>
      <c r="B142" s="1405" t="s">
        <v>215</v>
      </c>
      <c r="C142" s="1452" t="str">
        <f>Бюд.р.!A445</f>
        <v>Закупка товаров, работ и услуг  для государственных (муниципальных) нужд</v>
      </c>
      <c r="D142" s="1310" t="s">
        <v>696</v>
      </c>
      <c r="E142" s="2255" t="s">
        <v>1192</v>
      </c>
      <c r="F142" s="1311" t="str">
        <f>Бюд.р.!D446</f>
        <v>428 01 01</v>
      </c>
      <c r="G142" s="1312">
        <f>Бюд.р.!F445</f>
        <v>200</v>
      </c>
      <c r="H142" s="1313"/>
      <c r="I142" s="1427">
        <f>Бюд.р.!H446</f>
        <v>17</v>
      </c>
      <c r="J142" s="365"/>
      <c r="K142" s="349"/>
      <c r="L142" s="349"/>
      <c r="M142" s="388"/>
    </row>
    <row r="143" spans="1:13" ht="36.75" customHeight="1" x14ac:dyDescent="0.2">
      <c r="A143" s="212"/>
      <c r="B143" s="1409" t="s">
        <v>1418</v>
      </c>
      <c r="C143" s="1445" t="str">
        <f>Бюд.р.!A449</f>
        <v xml:space="preserve">Расходы на организацию профессионального образования и дополнительного профессионального образования для  муниципальных служащих  </v>
      </c>
      <c r="D143" s="1344" t="s">
        <v>696</v>
      </c>
      <c r="E143" s="2706" t="s">
        <v>1192</v>
      </c>
      <c r="F143" s="1345" t="str">
        <f>Бюд.р.!D449</f>
        <v>428 01 02</v>
      </c>
      <c r="G143" s="1346"/>
      <c r="H143" s="1357"/>
      <c r="I143" s="1433">
        <f>I144</f>
        <v>238</v>
      </c>
      <c r="J143" s="365"/>
      <c r="K143" s="349"/>
      <c r="L143" s="349"/>
      <c r="M143" s="388"/>
    </row>
    <row r="144" spans="1:13" ht="24.75" customHeight="1" x14ac:dyDescent="0.2">
      <c r="A144" s="212"/>
      <c r="B144" s="1405" t="s">
        <v>215</v>
      </c>
      <c r="C144" s="1452" t="str">
        <f>Бюд.р.!A450</f>
        <v>Закупка товаров, работ и услуг  для государственных (муниципальных) нужд</v>
      </c>
      <c r="D144" s="1310" t="s">
        <v>696</v>
      </c>
      <c r="E144" s="2255" t="s">
        <v>1192</v>
      </c>
      <c r="F144" s="1311" t="str">
        <f>Бюд.р.!D451</f>
        <v>428 01 02</v>
      </c>
      <c r="G144" s="1312">
        <f>Бюд.р.!F450</f>
        <v>200</v>
      </c>
      <c r="H144" s="1313"/>
      <c r="I144" s="1427">
        <f>Бюд.р.!H450</f>
        <v>238</v>
      </c>
      <c r="J144" s="365"/>
      <c r="K144" s="349"/>
      <c r="L144" s="349"/>
      <c r="M144" s="388"/>
    </row>
    <row r="145" spans="1:13" ht="15.75" customHeight="1" x14ac:dyDescent="0.2">
      <c r="A145" s="212"/>
      <c r="B145" s="2847" t="s">
        <v>890</v>
      </c>
      <c r="C145" s="2834" t="s">
        <v>411</v>
      </c>
      <c r="D145" s="2835" t="s">
        <v>696</v>
      </c>
      <c r="E145" s="2836" t="s">
        <v>413</v>
      </c>
      <c r="F145" s="2848"/>
      <c r="G145" s="2849"/>
      <c r="H145" s="2850"/>
      <c r="I145" s="2839">
        <f>I146+I148+I150+I152+I154</f>
        <v>3879.6</v>
      </c>
      <c r="J145" s="358">
        <f>J150+J152</f>
        <v>585</v>
      </c>
      <c r="K145" s="152">
        <f>K150+K152</f>
        <v>667</v>
      </c>
      <c r="L145" s="152">
        <f>L150+L152</f>
        <v>485</v>
      </c>
      <c r="M145" s="382">
        <f>M150+M152</f>
        <v>1170</v>
      </c>
    </row>
    <row r="146" spans="1:13" ht="36.75" customHeight="1" x14ac:dyDescent="0.2">
      <c r="A146" s="212"/>
      <c r="B146" s="1409" t="s">
        <v>527</v>
      </c>
      <c r="C146" s="1441" t="str">
        <f>Бюд.р.!A455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D146" s="1344" t="s">
        <v>696</v>
      </c>
      <c r="E146" s="1345" t="s">
        <v>413</v>
      </c>
      <c r="F146" s="1345" t="str">
        <f>Бюд.р.!D459</f>
        <v>795 01 00</v>
      </c>
      <c r="G146" s="1346"/>
      <c r="H146" s="1357"/>
      <c r="I146" s="1433">
        <f>I147</f>
        <v>877.5</v>
      </c>
      <c r="J146" s="358"/>
      <c r="K146" s="152"/>
      <c r="L146" s="152"/>
      <c r="M146" s="382"/>
    </row>
    <row r="147" spans="1:13" ht="15.75" customHeight="1" x14ac:dyDescent="0.2">
      <c r="A147" s="212"/>
      <c r="B147" s="1405" t="s">
        <v>215</v>
      </c>
      <c r="C147" s="1452" t="str">
        <f>Бюд.р.!A456</f>
        <v>Закупка товаров, работ и услуг  для государственных (муниципальных) нужд</v>
      </c>
      <c r="D147" s="1310" t="s">
        <v>696</v>
      </c>
      <c r="E147" s="1311" t="s">
        <v>413</v>
      </c>
      <c r="F147" s="1311" t="str">
        <f>Бюд.р.!D460</f>
        <v>795 01 00</v>
      </c>
      <c r="G147" s="1312">
        <f>Бюд.р.!G458</f>
        <v>200</v>
      </c>
      <c r="H147" s="1313"/>
      <c r="I147" s="1427">
        <f>Бюд.р.!H458</f>
        <v>877.5</v>
      </c>
      <c r="J147" s="358"/>
      <c r="K147" s="152"/>
      <c r="L147" s="152"/>
      <c r="M147" s="382"/>
    </row>
    <row r="148" spans="1:13" ht="49.5" customHeight="1" x14ac:dyDescent="0.2">
      <c r="A148" s="212"/>
      <c r="B148" s="1409" t="s">
        <v>1388</v>
      </c>
      <c r="C148" s="1445" t="str">
        <f>Бюд.р.!A461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48" s="1344">
        <f>Бюд.р.!B461</f>
        <v>968</v>
      </c>
      <c r="E148" s="1345">
        <f>Бюд.р.!C461</f>
        <v>707</v>
      </c>
      <c r="F148" s="1345" t="str">
        <f>Бюд.р.!D461</f>
        <v>795 04 00</v>
      </c>
      <c r="G148" s="1346"/>
      <c r="H148" s="1357"/>
      <c r="I148" s="1433">
        <f>I149</f>
        <v>185</v>
      </c>
      <c r="J148" s="358"/>
      <c r="K148" s="152"/>
      <c r="L148" s="152"/>
      <c r="M148" s="382"/>
    </row>
    <row r="149" spans="1:13" ht="25.5" customHeight="1" x14ac:dyDescent="0.2">
      <c r="A149" s="212"/>
      <c r="B149" s="1405"/>
      <c r="C149" s="1452" t="str">
        <f>Бюд.р.!A462</f>
        <v>Закупка товаров, работ и услуг  для государственных (муниципальных) нужд</v>
      </c>
      <c r="D149" s="1310">
        <f>Бюд.р.!B462</f>
        <v>968</v>
      </c>
      <c r="E149" s="1311">
        <f>Бюд.р.!C462</f>
        <v>707</v>
      </c>
      <c r="F149" s="1311" t="str">
        <f>Бюд.р.!D462</f>
        <v>795 04 00</v>
      </c>
      <c r="G149" s="1312">
        <f>Бюд.р.!F462</f>
        <v>200</v>
      </c>
      <c r="H149" s="1313"/>
      <c r="I149" s="1427">
        <f>Бюд.р.!H461</f>
        <v>185</v>
      </c>
      <c r="J149" s="358"/>
      <c r="K149" s="152"/>
      <c r="L149" s="152"/>
      <c r="M149" s="382"/>
    </row>
    <row r="150" spans="1:13" ht="23.25" customHeight="1" x14ac:dyDescent="0.2">
      <c r="A150" s="213" t="s">
        <v>299</v>
      </c>
      <c r="B150" s="1409" t="s">
        <v>1528</v>
      </c>
      <c r="C150" s="1441" t="str">
        <f>Бюд.р.!A466</f>
        <v>Ведомственная целевая программа по военно-патриотическому воспитанию граждан муниципального образования</v>
      </c>
      <c r="D150" s="1344" t="s">
        <v>696</v>
      </c>
      <c r="E150" s="1345" t="s">
        <v>413</v>
      </c>
      <c r="F150" s="1345" t="str">
        <f>Бюд.р.!D466</f>
        <v>795 08 00</v>
      </c>
      <c r="G150" s="1346"/>
      <c r="H150" s="1357"/>
      <c r="I150" s="1433">
        <f>I151</f>
        <v>1106.2</v>
      </c>
      <c r="J150" s="359">
        <f>J151</f>
        <v>90</v>
      </c>
      <c r="K150" s="186">
        <f>K151</f>
        <v>479</v>
      </c>
      <c r="L150" s="186">
        <f>L151</f>
        <v>485</v>
      </c>
      <c r="M150" s="383">
        <f>M151</f>
        <v>310</v>
      </c>
    </row>
    <row r="151" spans="1:13" ht="24.75" customHeight="1" x14ac:dyDescent="0.2">
      <c r="A151" s="52" t="s">
        <v>212</v>
      </c>
      <c r="B151" s="1405" t="s">
        <v>215</v>
      </c>
      <c r="C151" s="1452" t="str">
        <f>Бюд.р.!A467</f>
        <v>Закупка товаров, работ и услуг  для государственных (муниципальных) нужд</v>
      </c>
      <c r="D151" s="1310" t="s">
        <v>696</v>
      </c>
      <c r="E151" s="1311" t="s">
        <v>413</v>
      </c>
      <c r="F151" s="1311" t="str">
        <f>Бюд.р.!D467</f>
        <v>795 08 00</v>
      </c>
      <c r="G151" s="1312">
        <f>Бюд.р.!F467</f>
        <v>200</v>
      </c>
      <c r="H151" s="1313"/>
      <c r="I151" s="1427">
        <f>Бюд.р.!H467</f>
        <v>1106.2</v>
      </c>
      <c r="J151" s="360">
        <v>90</v>
      </c>
      <c r="K151" s="189">
        <v>479</v>
      </c>
      <c r="L151" s="189">
        <v>485</v>
      </c>
      <c r="M151" s="384">
        <v>310</v>
      </c>
    </row>
    <row r="152" spans="1:13" ht="22.5" customHeight="1" x14ac:dyDescent="0.2">
      <c r="A152" s="213" t="s">
        <v>287</v>
      </c>
      <c r="B152" s="1409" t="s">
        <v>1529</v>
      </c>
      <c r="C152" s="1441" t="str">
        <f>Бюд.р.!A474</f>
        <v xml:space="preserve">Ведомственная целевая программа по организации и проведению досуговых мероприятий для жителей МО МО Озеро Долгое </v>
      </c>
      <c r="D152" s="1344" t="s">
        <v>696</v>
      </c>
      <c r="E152" s="1345" t="s">
        <v>413</v>
      </c>
      <c r="F152" s="1345" t="str">
        <f>Бюд.р.!D474</f>
        <v>795 06 00</v>
      </c>
      <c r="G152" s="1346"/>
      <c r="H152" s="1357"/>
      <c r="I152" s="1433">
        <f>I153</f>
        <v>1610.9</v>
      </c>
      <c r="J152" s="359">
        <f>J153</f>
        <v>495</v>
      </c>
      <c r="K152" s="186">
        <f>K153</f>
        <v>188</v>
      </c>
      <c r="L152" s="186">
        <f>L153</f>
        <v>0</v>
      </c>
      <c r="M152" s="383">
        <f>M153</f>
        <v>860</v>
      </c>
    </row>
    <row r="153" spans="1:13" ht="27" customHeight="1" x14ac:dyDescent="0.2">
      <c r="A153" s="52" t="s">
        <v>812</v>
      </c>
      <c r="B153" s="1405" t="s">
        <v>215</v>
      </c>
      <c r="C153" s="1452" t="str">
        <f>Бюд.р.!A475</f>
        <v>Закупка товаров, работ и услуг  для государственных (муниципальных) нужд</v>
      </c>
      <c r="D153" s="1310" t="s">
        <v>696</v>
      </c>
      <c r="E153" s="1311" t="s">
        <v>413</v>
      </c>
      <c r="F153" s="1311" t="str">
        <f>Бюд.р.!D475</f>
        <v>795 06 00</v>
      </c>
      <c r="G153" s="1312">
        <f>Бюд.р.!F475</f>
        <v>200</v>
      </c>
      <c r="H153" s="1313"/>
      <c r="I153" s="1427">
        <f>Бюд.р.!H476</f>
        <v>1610.9</v>
      </c>
      <c r="J153" s="360">
        <v>495</v>
      </c>
      <c r="K153" s="189">
        <v>188</v>
      </c>
      <c r="L153" s="189">
        <v>0</v>
      </c>
      <c r="M153" s="384">
        <v>860</v>
      </c>
    </row>
    <row r="154" spans="1:13" ht="46.5" customHeight="1" x14ac:dyDescent="0.2">
      <c r="A154" s="2825"/>
      <c r="B154" s="1409" t="s">
        <v>1530</v>
      </c>
      <c r="C154" s="1441" t="str">
        <f>Бюд.р.!A483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54" s="1344" t="s">
        <v>696</v>
      </c>
      <c r="E154" s="1345" t="s">
        <v>413</v>
      </c>
      <c r="F154" s="1345" t="str">
        <f>F155</f>
        <v>795 05 00</v>
      </c>
      <c r="G154" s="1346"/>
      <c r="H154" s="1357"/>
      <c r="I154" s="1433">
        <f>I155</f>
        <v>100</v>
      </c>
      <c r="J154" s="360"/>
      <c r="K154" s="189"/>
      <c r="L154" s="189"/>
      <c r="M154" s="384"/>
    </row>
    <row r="155" spans="1:13" ht="27" customHeight="1" x14ac:dyDescent="0.2">
      <c r="A155" s="2825"/>
      <c r="B155" s="1405" t="s">
        <v>215</v>
      </c>
      <c r="C155" s="1452" t="str">
        <f>Бюд.р.!A484</f>
        <v>Закупка товаров, работ и услуг  для государственных (муниципальных) нужд</v>
      </c>
      <c r="D155" s="1310" t="s">
        <v>696</v>
      </c>
      <c r="E155" s="1311" t="s">
        <v>413</v>
      </c>
      <c r="F155" s="1311" t="str">
        <f>Бюд.р.!D484</f>
        <v>795 05 00</v>
      </c>
      <c r="G155" s="1312">
        <f>Бюд.р.!F484</f>
        <v>200</v>
      </c>
      <c r="H155" s="1313"/>
      <c r="I155" s="1427">
        <f>Бюд.р.!H484</f>
        <v>100</v>
      </c>
      <c r="J155" s="360"/>
      <c r="K155" s="189"/>
      <c r="L155" s="189"/>
      <c r="M155" s="384"/>
    </row>
    <row r="156" spans="1:13" ht="15" x14ac:dyDescent="0.2">
      <c r="A156" s="218"/>
      <c r="B156" s="2851" t="s">
        <v>16</v>
      </c>
      <c r="C156" s="2852" t="s">
        <v>14</v>
      </c>
      <c r="D156" s="2841" t="s">
        <v>696</v>
      </c>
      <c r="E156" s="2461" t="s">
        <v>18</v>
      </c>
      <c r="F156" s="2848"/>
      <c r="G156" s="2853"/>
      <c r="H156" s="2854"/>
      <c r="I156" s="2463">
        <f>I157+I159</f>
        <v>136.5</v>
      </c>
      <c r="J156" s="361"/>
      <c r="K156" s="237"/>
      <c r="L156" s="237"/>
      <c r="M156" s="350"/>
    </row>
    <row r="157" spans="1:13" ht="34.5" customHeight="1" x14ac:dyDescent="0.2">
      <c r="A157" s="218"/>
      <c r="B157" s="1409" t="s">
        <v>17</v>
      </c>
      <c r="C157" s="1445" t="str">
        <f>Бюд.р.!A491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D157" s="1344" t="s">
        <v>696</v>
      </c>
      <c r="E157" s="1345" t="s">
        <v>18</v>
      </c>
      <c r="F157" s="1345" t="s">
        <v>463</v>
      </c>
      <c r="G157" s="1346"/>
      <c r="H157" s="1357"/>
      <c r="I157" s="1433">
        <f>I158</f>
        <v>30</v>
      </c>
      <c r="J157" s="361"/>
      <c r="K157" s="237"/>
      <c r="L157" s="237"/>
      <c r="M157" s="350"/>
    </row>
    <row r="158" spans="1:13" ht="25.5" customHeight="1" x14ac:dyDescent="0.2">
      <c r="A158" s="218"/>
      <c r="B158" s="1408" t="s">
        <v>215</v>
      </c>
      <c r="C158" s="1452" t="str">
        <f>Бюд.р.!A492</f>
        <v>Закупка товаров, работ и услуг  для государственных (муниципальных) нужд</v>
      </c>
      <c r="D158" s="1361" t="s">
        <v>696</v>
      </c>
      <c r="E158" s="1362" t="s">
        <v>18</v>
      </c>
      <c r="F158" s="1362" t="s">
        <v>463</v>
      </c>
      <c r="G158" s="1363">
        <f>Бюд.р.!F492</f>
        <v>200</v>
      </c>
      <c r="H158" s="1364"/>
      <c r="I158" s="1436">
        <f>Бюд.р.!H492</f>
        <v>30</v>
      </c>
      <c r="J158" s="361"/>
      <c r="K158" s="237"/>
      <c r="L158" s="237"/>
      <c r="M158" s="350"/>
    </row>
    <row r="159" spans="1:13" ht="36" customHeight="1" x14ac:dyDescent="0.2">
      <c r="A159" s="218"/>
      <c r="B159" s="1409" t="s">
        <v>1389</v>
      </c>
      <c r="C159" s="1445" t="str">
        <f>Бюд.р.!A500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59" s="1344" t="s">
        <v>696</v>
      </c>
      <c r="E159" s="1345" t="s">
        <v>18</v>
      </c>
      <c r="F159" s="1345" t="s">
        <v>163</v>
      </c>
      <c r="G159" s="1346"/>
      <c r="H159" s="1357"/>
      <c r="I159" s="1433">
        <f>I160</f>
        <v>106.5</v>
      </c>
      <c r="J159" s="361"/>
      <c r="K159" s="237"/>
      <c r="L159" s="237"/>
      <c r="M159" s="350"/>
    </row>
    <row r="160" spans="1:13" ht="27.75" customHeight="1" thickBot="1" x14ac:dyDescent="0.25">
      <c r="A160" s="218"/>
      <c r="B160" s="1408" t="s">
        <v>215</v>
      </c>
      <c r="C160" s="1457" t="str">
        <f>Бюд.р.!A501</f>
        <v>Закупка товаров, работ и услуг  для государственных (муниципальных) нужд</v>
      </c>
      <c r="D160" s="1361" t="s">
        <v>696</v>
      </c>
      <c r="E160" s="1362" t="s">
        <v>18</v>
      </c>
      <c r="F160" s="1362" t="s">
        <v>163</v>
      </c>
      <c r="G160" s="1363">
        <f>Бюд.р.!F501</f>
        <v>200</v>
      </c>
      <c r="H160" s="1364"/>
      <c r="I160" s="1436">
        <f>Бюд.р.!H501</f>
        <v>106.5</v>
      </c>
      <c r="J160" s="361"/>
      <c r="K160" s="237"/>
      <c r="L160" s="237"/>
      <c r="M160" s="350"/>
    </row>
    <row r="161" spans="1:13" ht="19.5" customHeight="1" thickBot="1" x14ac:dyDescent="0.25">
      <c r="A161" s="218"/>
      <c r="B161" s="2859" t="s">
        <v>350</v>
      </c>
      <c r="C161" s="2860" t="str">
        <f>Бюд.р.!A506</f>
        <v xml:space="preserve">КУЛЬТУРА, КИНЕМАТОГРАФИЯ </v>
      </c>
      <c r="D161" s="2828" t="s">
        <v>696</v>
      </c>
      <c r="E161" s="2846" t="s">
        <v>416</v>
      </c>
      <c r="F161" s="2861"/>
      <c r="G161" s="2862"/>
      <c r="H161" s="2863"/>
      <c r="I161" s="2832">
        <f>I162+I165</f>
        <v>11628.808999999999</v>
      </c>
      <c r="J161" s="361"/>
      <c r="K161" s="237"/>
      <c r="L161" s="237"/>
      <c r="M161" s="350"/>
    </row>
    <row r="162" spans="1:13" ht="14.25" customHeight="1" x14ac:dyDescent="0.2">
      <c r="A162" s="218"/>
      <c r="B162" s="2847" t="s">
        <v>806</v>
      </c>
      <c r="C162" s="2858" t="str">
        <f>Бюд.р.!A507</f>
        <v>Культура</v>
      </c>
      <c r="D162" s="2835">
        <v>968</v>
      </c>
      <c r="E162" s="2856" t="s">
        <v>417</v>
      </c>
      <c r="F162" s="2848"/>
      <c r="G162" s="2849"/>
      <c r="H162" s="2850"/>
      <c r="I162" s="2839">
        <f>I163</f>
        <v>10081.829</v>
      </c>
      <c r="J162" s="361"/>
      <c r="K162" s="237"/>
      <c r="L162" s="237"/>
      <c r="M162" s="350"/>
    </row>
    <row r="163" spans="1:13" ht="54.75" customHeight="1" x14ac:dyDescent="0.2">
      <c r="A163" s="218"/>
      <c r="B163" s="1409" t="s">
        <v>110</v>
      </c>
      <c r="C163" s="1371" t="str">
        <f>Бюд.р.!A508</f>
        <v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163" s="1344" t="s">
        <v>696</v>
      </c>
      <c r="E163" s="1378" t="s">
        <v>417</v>
      </c>
      <c r="F163" s="1378" t="str">
        <f>Бюд.р.!D508</f>
        <v>795 09 00</v>
      </c>
      <c r="G163" s="2877"/>
      <c r="H163" s="2867"/>
      <c r="I163" s="1433">
        <f>I164</f>
        <v>10081.829</v>
      </c>
      <c r="J163" s="359">
        <f>J164</f>
        <v>849</v>
      </c>
      <c r="K163" s="186">
        <f>K164</f>
        <v>707</v>
      </c>
      <c r="L163" s="186">
        <f>L164</f>
        <v>197</v>
      </c>
      <c r="M163" s="383">
        <f>M164</f>
        <v>253</v>
      </c>
    </row>
    <row r="164" spans="1:13" ht="24.75" customHeight="1" x14ac:dyDescent="0.2">
      <c r="A164" s="218"/>
      <c r="B164" s="1408" t="s">
        <v>215</v>
      </c>
      <c r="C164" s="1452" t="str">
        <f>Бюд.р.!A509</f>
        <v>Закупка товаров, работ и услуг  для государственных (муниципальных) нужд</v>
      </c>
      <c r="D164" s="1310" t="s">
        <v>696</v>
      </c>
      <c r="E164" s="1311" t="s">
        <v>417</v>
      </c>
      <c r="F164" s="1311" t="str">
        <f>Бюд.р.!D509</f>
        <v>795 09 00</v>
      </c>
      <c r="G164" s="1312">
        <f>Бюд.р.!F509</f>
        <v>200</v>
      </c>
      <c r="H164" s="1374"/>
      <c r="I164" s="1427">
        <f>Бюд.р.!H509</f>
        <v>10081.829</v>
      </c>
      <c r="J164" s="360">
        <v>849</v>
      </c>
      <c r="K164" s="189">
        <v>707</v>
      </c>
      <c r="L164" s="189">
        <v>197</v>
      </c>
      <c r="M164" s="384">
        <v>253</v>
      </c>
    </row>
    <row r="165" spans="1:13" ht="24.75" customHeight="1" x14ac:dyDescent="0.2">
      <c r="A165" s="218"/>
      <c r="B165" s="2851" t="s">
        <v>891</v>
      </c>
      <c r="C165" s="2852" t="str">
        <f>Бюд.р.!A516</f>
        <v>Другие вопросы в области культуры, кинематографии</v>
      </c>
      <c r="D165" s="2841">
        <v>968</v>
      </c>
      <c r="E165" s="2844" t="s">
        <v>1442</v>
      </c>
      <c r="F165" s="2848"/>
      <c r="G165" s="2853"/>
      <c r="H165" s="2854"/>
      <c r="I165" s="2463">
        <f>I166+I168</f>
        <v>1546.98</v>
      </c>
      <c r="J165" s="360"/>
      <c r="K165" s="189"/>
      <c r="L165" s="189"/>
      <c r="M165" s="384"/>
    </row>
    <row r="166" spans="1:13" ht="25.5" customHeight="1" x14ac:dyDescent="0.2">
      <c r="A166" s="218"/>
      <c r="B166" s="1409" t="s">
        <v>10</v>
      </c>
      <c r="C166" s="1371" t="str">
        <f>Бюд.р.!A517</f>
        <v xml:space="preserve">Ведомственная целевая программа по организации и проведению досуговых мероприятий для жителей МО МО Озеро Долгое </v>
      </c>
      <c r="D166" s="1344" t="s">
        <v>696</v>
      </c>
      <c r="E166" s="2878" t="s">
        <v>1442</v>
      </c>
      <c r="F166" s="1378" t="s">
        <v>1303</v>
      </c>
      <c r="G166" s="2877"/>
      <c r="H166" s="2867"/>
      <c r="I166" s="1433">
        <f>I167</f>
        <v>1314.25</v>
      </c>
      <c r="J166" s="360"/>
      <c r="K166" s="189"/>
      <c r="L166" s="189"/>
      <c r="M166" s="384"/>
    </row>
    <row r="167" spans="1:13" ht="22.5" customHeight="1" x14ac:dyDescent="0.2">
      <c r="A167" s="218"/>
      <c r="B167" s="1408" t="s">
        <v>215</v>
      </c>
      <c r="C167" s="1452" t="str">
        <f>Бюд.р.!A518</f>
        <v>Закупка товаров, работ и услуг  для государственных (муниципальных) нужд</v>
      </c>
      <c r="D167" s="1310" t="s">
        <v>696</v>
      </c>
      <c r="E167" s="2255" t="s">
        <v>1442</v>
      </c>
      <c r="F167" s="1311" t="s">
        <v>1303</v>
      </c>
      <c r="G167" s="1312">
        <f>Бюд.р.!F518</f>
        <v>200</v>
      </c>
      <c r="H167" s="1374"/>
      <c r="I167" s="1427">
        <f>Бюд.р.!H518</f>
        <v>1314.25</v>
      </c>
      <c r="J167" s="360"/>
      <c r="K167" s="189"/>
      <c r="L167" s="189"/>
      <c r="M167" s="384"/>
    </row>
    <row r="168" spans="1:13" ht="23.25" customHeight="1" x14ac:dyDescent="0.2">
      <c r="A168" s="218"/>
      <c r="B168" s="1409" t="s">
        <v>1531</v>
      </c>
      <c r="C168" s="1371" t="str">
        <f>Бюд.р.!A523</f>
        <v>Ведомственная целевая программа по военно-патриотическому воспитанию граждан муниципального образования</v>
      </c>
      <c r="D168" s="1344" t="s">
        <v>696</v>
      </c>
      <c r="E168" s="2878" t="s">
        <v>1442</v>
      </c>
      <c r="F168" s="1378" t="str">
        <f>F169</f>
        <v>795 08 00</v>
      </c>
      <c r="G168" s="2877"/>
      <c r="H168" s="2867"/>
      <c r="I168" s="1433">
        <f>I169</f>
        <v>232.73000000000002</v>
      </c>
      <c r="J168" s="360"/>
      <c r="K168" s="189"/>
      <c r="L168" s="189"/>
      <c r="M168" s="384"/>
    </row>
    <row r="169" spans="1:13" ht="22.5" customHeight="1" thickBot="1" x14ac:dyDescent="0.25">
      <c r="A169" s="218"/>
      <c r="B169" s="1408" t="s">
        <v>215</v>
      </c>
      <c r="C169" s="1457" t="str">
        <f>Бюд.р.!A524</f>
        <v>Закупка товаров, работ и услуг  для государственных (муниципальных) нужд</v>
      </c>
      <c r="D169" s="1361" t="s">
        <v>696</v>
      </c>
      <c r="E169" s="2705" t="s">
        <v>1442</v>
      </c>
      <c r="F169" s="1362" t="str">
        <f>Бюд.р.!D524</f>
        <v>795 08 00</v>
      </c>
      <c r="G169" s="1363">
        <f>Бюд.р.!F524</f>
        <v>200</v>
      </c>
      <c r="H169" s="2864"/>
      <c r="I169" s="1436">
        <f>Бюд.р.!H526</f>
        <v>232.73000000000002</v>
      </c>
      <c r="J169" s="360"/>
      <c r="K169" s="189"/>
      <c r="L169" s="189"/>
      <c r="M169" s="384"/>
    </row>
    <row r="170" spans="1:13" ht="18" customHeight="1" thickBot="1" x14ac:dyDescent="0.25">
      <c r="A170" s="218"/>
      <c r="B170" s="2859" t="s">
        <v>351</v>
      </c>
      <c r="C170" s="2860" t="str">
        <f>Бюд.р.!A528</f>
        <v>СОЦИАЛЬНАЯ ПОЛИТИКА</v>
      </c>
      <c r="D170" s="2828" t="s">
        <v>696</v>
      </c>
      <c r="E170" s="2846" t="s">
        <v>346</v>
      </c>
      <c r="F170" s="2861"/>
      <c r="G170" s="2862"/>
      <c r="H170" s="2863"/>
      <c r="I170" s="2832">
        <f>I171+I174</f>
        <v>16911.899999999998</v>
      </c>
      <c r="J170" s="360"/>
      <c r="K170" s="189"/>
      <c r="L170" s="189"/>
      <c r="M170" s="384"/>
    </row>
    <row r="171" spans="1:13" ht="17.25" customHeight="1" x14ac:dyDescent="0.2">
      <c r="A171" s="218"/>
      <c r="B171" s="2847" t="s">
        <v>118</v>
      </c>
      <c r="C171" s="2858" t="str">
        <f>Бюд.р.!A529</f>
        <v>Социальное обеспечение населения</v>
      </c>
      <c r="D171" s="2835">
        <v>968</v>
      </c>
      <c r="E171" s="2856" t="s">
        <v>1101</v>
      </c>
      <c r="F171" s="2848"/>
      <c r="G171" s="2849"/>
      <c r="H171" s="2850"/>
      <c r="I171" s="2839">
        <f>I172</f>
        <v>970.2</v>
      </c>
      <c r="J171" s="360"/>
      <c r="K171" s="189"/>
      <c r="L171" s="189"/>
      <c r="M171" s="384"/>
    </row>
    <row r="172" spans="1:13" ht="36" customHeight="1" x14ac:dyDescent="0.2">
      <c r="A172" s="219"/>
      <c r="B172" s="1409" t="s">
        <v>1232</v>
      </c>
      <c r="C172" s="1445" t="str">
        <f>Бюд.р.!A530</f>
        <v>РАСХОДЫ НА ПРЕДОСТАВЛЕНИЕ ДОПЛАТ К ПЕНСИИ ЛИЦАМ, ЗАМЕЩАВШИМ МУНИЦИПАЛЬНЫЕ ДОЛЖНОСТИ И ДОЛЖНОСТИ МУНИЦИПАЛЬНОЙ СЛУЖБЫ</v>
      </c>
      <c r="D172" s="1344" t="s">
        <v>696</v>
      </c>
      <c r="E172" s="1378" t="s">
        <v>1101</v>
      </c>
      <c r="F172" s="1348" t="s">
        <v>1099</v>
      </c>
      <c r="G172" s="1476"/>
      <c r="H172" s="1313"/>
      <c r="I172" s="1433">
        <f>I173</f>
        <v>970.2</v>
      </c>
      <c r="J172" s="365"/>
      <c r="K172" s="349"/>
      <c r="L172" s="349"/>
      <c r="M172" s="388"/>
    </row>
    <row r="173" spans="1:13" ht="15.75" customHeight="1" x14ac:dyDescent="0.2">
      <c r="A173" s="219"/>
      <c r="B173" s="1405" t="s">
        <v>215</v>
      </c>
      <c r="C173" s="1452" t="str">
        <f>Бюд.р.!A531</f>
        <v>Социальное обеспечение и иные выплаты населению</v>
      </c>
      <c r="D173" s="1310" t="s">
        <v>696</v>
      </c>
      <c r="E173" s="1381" t="s">
        <v>1101</v>
      </c>
      <c r="F173" s="1333" t="s">
        <v>1099</v>
      </c>
      <c r="G173" s="1471">
        <f>Бюд.р.!F531</f>
        <v>300</v>
      </c>
      <c r="H173" s="1347"/>
      <c r="I173" s="1431">
        <f>Бюд.р.!H531</f>
        <v>970.2</v>
      </c>
      <c r="J173" s="365"/>
      <c r="K173" s="349"/>
      <c r="L173" s="349"/>
      <c r="M173" s="388"/>
    </row>
    <row r="174" spans="1:13" ht="15.75" customHeight="1" x14ac:dyDescent="0.2">
      <c r="A174" s="219"/>
      <c r="B174" s="2851" t="s">
        <v>1272</v>
      </c>
      <c r="C174" s="2852" t="str">
        <f>Бюд.р.!A535</f>
        <v>Охрана семьи и детства</v>
      </c>
      <c r="D174" s="2841">
        <v>968</v>
      </c>
      <c r="E174" s="2844" t="s">
        <v>922</v>
      </c>
      <c r="F174" s="2848"/>
      <c r="G174" s="2853"/>
      <c r="H174" s="2854"/>
      <c r="I174" s="2463">
        <f>I175+I178+I180</f>
        <v>15941.699999999999</v>
      </c>
      <c r="J174" s="365"/>
      <c r="K174" s="365"/>
      <c r="L174" s="365"/>
      <c r="M174" s="2855"/>
    </row>
    <row r="175" spans="1:13" ht="48" customHeight="1" x14ac:dyDescent="0.2">
      <c r="A175" s="219"/>
      <c r="B175" s="1409" t="s">
        <v>1273</v>
      </c>
      <c r="C175" s="1445" t="str">
        <f>Бюд.р.!A536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175" s="1344" t="s">
        <v>696</v>
      </c>
      <c r="E175" s="1378" t="s">
        <v>922</v>
      </c>
      <c r="F175" s="1348" t="str">
        <f>Бюд.р.!D538</f>
        <v>002  80 31</v>
      </c>
      <c r="G175" s="1476"/>
      <c r="H175" s="1313"/>
      <c r="I175" s="1433">
        <f>SUM(I176:I177)</f>
        <v>3724</v>
      </c>
      <c r="J175" s="358"/>
      <c r="K175" s="358"/>
      <c r="L175" s="358"/>
      <c r="M175" s="1164"/>
    </row>
    <row r="176" spans="1:13" ht="48" customHeight="1" x14ac:dyDescent="0.2">
      <c r="A176" s="219"/>
      <c r="B176" s="1405" t="s">
        <v>215</v>
      </c>
      <c r="C176" s="1452" t="str">
        <f>Бюд.р.!A537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76" s="1310" t="s">
        <v>696</v>
      </c>
      <c r="E176" s="1381" t="s">
        <v>922</v>
      </c>
      <c r="F176" s="1333" t="str">
        <f>Бюд.р.!D538</f>
        <v>002  80 31</v>
      </c>
      <c r="G176" s="1471">
        <f>Бюд.р.!F537</f>
        <v>100</v>
      </c>
      <c r="H176" s="1347"/>
      <c r="I176" s="1431">
        <f>Бюд.р.!H537</f>
        <v>3469.0160000000001</v>
      </c>
      <c r="J176" s="358"/>
      <c r="K176" s="358"/>
      <c r="L176" s="358"/>
      <c r="M176" s="1164"/>
    </row>
    <row r="177" spans="1:13" ht="25.5" customHeight="1" x14ac:dyDescent="0.2">
      <c r="A177" s="219"/>
      <c r="B177" s="1405" t="s">
        <v>216</v>
      </c>
      <c r="C177" s="1452" t="str">
        <f>Бюд.р.!A543</f>
        <v>Закупка товаров, работ и услуг  для государственных (муниципальных) нужд</v>
      </c>
      <c r="D177" s="1310">
        <f>Бюд.р.!B550</f>
        <v>968</v>
      </c>
      <c r="E177" s="1381">
        <f>Бюд.р.!C550</f>
        <v>1004</v>
      </c>
      <c r="F177" s="1333" t="str">
        <f>Бюд.р.!D550</f>
        <v>002 80 31</v>
      </c>
      <c r="G177" s="1471">
        <f>Бюд.р.!F543</f>
        <v>200</v>
      </c>
      <c r="H177" s="1347"/>
      <c r="I177" s="1431">
        <f>Бюд.р.!H543</f>
        <v>254.98399999999998</v>
      </c>
      <c r="J177" s="358"/>
      <c r="K177" s="358"/>
      <c r="L177" s="358"/>
      <c r="M177" s="1164"/>
    </row>
    <row r="178" spans="1:13" ht="34.5" customHeight="1" x14ac:dyDescent="0.2">
      <c r="A178" s="219"/>
      <c r="B178" s="1409" t="s">
        <v>1392</v>
      </c>
      <c r="C178" s="1441" t="str">
        <f>Бюд.р.!A557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178" s="1344" t="s">
        <v>696</v>
      </c>
      <c r="E178" s="1378" t="s">
        <v>922</v>
      </c>
      <c r="F178" s="1378" t="str">
        <f>Бюд.р.!D557</f>
        <v>511 80 32</v>
      </c>
      <c r="G178" s="2877"/>
      <c r="H178" s="2867"/>
      <c r="I178" s="1433">
        <f>I179</f>
        <v>9259.7999999999993</v>
      </c>
      <c r="J178" s="359" t="e">
        <f>#REF!+#REF!</f>
        <v>#REF!</v>
      </c>
      <c r="K178" s="359" t="e">
        <f>#REF!+#REF!</f>
        <v>#REF!</v>
      </c>
      <c r="L178" s="359" t="e">
        <f>#REF!+#REF!</f>
        <v>#REF!</v>
      </c>
      <c r="M178" s="359" t="e">
        <f>#REF!+#REF!</f>
        <v>#REF!</v>
      </c>
    </row>
    <row r="179" spans="1:13" ht="15.75" customHeight="1" x14ac:dyDescent="0.2">
      <c r="A179" s="219"/>
      <c r="B179" s="1408" t="s">
        <v>215</v>
      </c>
      <c r="C179" s="1352" t="str">
        <f>Бюд.р.!A558</f>
        <v>Социальное обеспечение и иные выплаты населению</v>
      </c>
      <c r="D179" s="1310" t="s">
        <v>696</v>
      </c>
      <c r="E179" s="1381" t="s">
        <v>922</v>
      </c>
      <c r="F179" s="2707" t="str">
        <f>Бюд.р.!D558</f>
        <v>511 80 32</v>
      </c>
      <c r="G179" s="1383">
        <f>Бюд.р.!F558</f>
        <v>300</v>
      </c>
      <c r="H179" s="1351"/>
      <c r="I179" s="1427">
        <f>Бюд.р.!H558</f>
        <v>9259.7999999999993</v>
      </c>
      <c r="J179" s="360">
        <v>1470</v>
      </c>
      <c r="K179" s="189">
        <v>1500</v>
      </c>
      <c r="L179" s="189">
        <v>1515</v>
      </c>
      <c r="M179" s="384">
        <v>1515</v>
      </c>
    </row>
    <row r="180" spans="1:13" ht="36.75" customHeight="1" x14ac:dyDescent="0.2">
      <c r="A180" s="779"/>
      <c r="B180" s="1409" t="s">
        <v>1393</v>
      </c>
      <c r="C180" s="1441" t="str">
        <f>Бюд.р.!A562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180" s="1344" t="s">
        <v>696</v>
      </c>
      <c r="E180" s="1378" t="s">
        <v>922</v>
      </c>
      <c r="F180" s="1378" t="str">
        <f>Бюд.р.!D562</f>
        <v>511 80 33</v>
      </c>
      <c r="G180" s="2877"/>
      <c r="H180" s="2879"/>
      <c r="I180" s="1433">
        <f>I181</f>
        <v>2957.9</v>
      </c>
      <c r="J180" s="780"/>
      <c r="K180" s="780"/>
      <c r="L180" s="780"/>
      <c r="M180" s="338"/>
    </row>
    <row r="181" spans="1:13" ht="16.5" customHeight="1" thickBot="1" x14ac:dyDescent="0.25">
      <c r="A181" s="779"/>
      <c r="B181" s="1408" t="s">
        <v>215</v>
      </c>
      <c r="C181" s="1458" t="str">
        <f>Бюд.р.!A563</f>
        <v>Социальное обеспечение и иные выплаты населению</v>
      </c>
      <c r="D181" s="1361" t="s">
        <v>696</v>
      </c>
      <c r="E181" s="1384" t="s">
        <v>922</v>
      </c>
      <c r="F181" s="2708" t="str">
        <f>Бюд.р.!D563</f>
        <v>511 80 33</v>
      </c>
      <c r="G181" s="1386">
        <f>Бюд.р.!F563</f>
        <v>300</v>
      </c>
      <c r="H181" s="1387"/>
      <c r="I181" s="1436">
        <f>Бюд.р.!H563</f>
        <v>2957.9</v>
      </c>
      <c r="J181" s="780"/>
      <c r="K181" s="780"/>
      <c r="L181" s="780"/>
      <c r="M181" s="338"/>
    </row>
    <row r="182" spans="1:13" ht="16.5" customHeight="1" thickBot="1" x14ac:dyDescent="0.25">
      <c r="A182" s="779"/>
      <c r="B182" s="2859" t="s">
        <v>893</v>
      </c>
      <c r="C182" s="2860" t="str">
        <f>Бюд.р.!A575</f>
        <v xml:space="preserve"> ФИЗИЧЕСКАЯ КУЛЬТУРА И СПОРТ</v>
      </c>
      <c r="D182" s="2828" t="s">
        <v>696</v>
      </c>
      <c r="E182" s="2846" t="s">
        <v>1516</v>
      </c>
      <c r="F182" s="2861"/>
      <c r="G182" s="2862"/>
      <c r="H182" s="2863"/>
      <c r="I182" s="2832">
        <f>I183</f>
        <v>3557.8850000000002</v>
      </c>
      <c r="J182" s="780"/>
      <c r="K182" s="780"/>
      <c r="L182" s="780"/>
      <c r="M182" s="338"/>
    </row>
    <row r="183" spans="1:13" ht="16.5" customHeight="1" x14ac:dyDescent="0.2">
      <c r="A183" s="779"/>
      <c r="B183" s="2847" t="s">
        <v>111</v>
      </c>
      <c r="C183" s="2858" t="str">
        <f>Бюд.р.!A576</f>
        <v>Массовый спорт</v>
      </c>
      <c r="D183" s="2835">
        <v>968</v>
      </c>
      <c r="E183" s="2856" t="s">
        <v>1517</v>
      </c>
      <c r="F183" s="2848"/>
      <c r="G183" s="2849"/>
      <c r="H183" s="2850"/>
      <c r="I183" s="2839">
        <f>I184</f>
        <v>3557.8850000000002</v>
      </c>
      <c r="J183" s="780"/>
      <c r="K183" s="780"/>
      <c r="L183" s="780"/>
      <c r="M183" s="338"/>
    </row>
    <row r="184" spans="1:13" ht="72" customHeight="1" thickBot="1" x14ac:dyDescent="0.25">
      <c r="A184" s="420"/>
      <c r="B184" s="1409" t="s">
        <v>1233</v>
      </c>
      <c r="C184" s="1445" t="str">
        <f>Бюд.р.!A577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D184" s="1372">
        <v>968</v>
      </c>
      <c r="E184" s="1348">
        <v>1102</v>
      </c>
      <c r="F184" s="1348" t="str">
        <f>Бюд.р.!D577</f>
        <v>795 10 00</v>
      </c>
      <c r="G184" s="1476"/>
      <c r="H184" s="2880"/>
      <c r="I184" s="1433">
        <f>I185</f>
        <v>3557.8850000000002</v>
      </c>
      <c r="J184" s="389"/>
      <c r="K184" s="389"/>
      <c r="L184" s="389"/>
      <c r="M184" s="537"/>
    </row>
    <row r="185" spans="1:13" ht="24" customHeight="1" thickBot="1" x14ac:dyDescent="0.25">
      <c r="A185" s="420"/>
      <c r="B185" s="1408" t="s">
        <v>215</v>
      </c>
      <c r="C185" s="1457" t="str">
        <f>Бюд.р.!A578</f>
        <v>Закупка товаров, работ и услуг  для государственных (муниципальных) нужд</v>
      </c>
      <c r="D185" s="1474">
        <v>968</v>
      </c>
      <c r="E185" s="1340">
        <v>1102</v>
      </c>
      <c r="F185" s="1340" t="str">
        <f>Бюд.р.!D578</f>
        <v>795 10 00</v>
      </c>
      <c r="G185" s="1475">
        <f>Бюд.р.!F578</f>
        <v>200</v>
      </c>
      <c r="H185" s="1530"/>
      <c r="I185" s="1395">
        <f>Бюд.р.!H578</f>
        <v>3557.8850000000002</v>
      </c>
      <c r="J185" s="389"/>
      <c r="K185" s="389"/>
      <c r="L185" s="389"/>
      <c r="M185" s="537"/>
    </row>
    <row r="186" spans="1:13" ht="15.75" customHeight="1" thickBot="1" x14ac:dyDescent="0.25">
      <c r="A186" s="420"/>
      <c r="B186" s="2859" t="s">
        <v>425</v>
      </c>
      <c r="C186" s="2860" t="str">
        <f>Бюд.р.!A589</f>
        <v>СРЕДСТВА МАССОВОЙ ИНФОРМАЦИИ</v>
      </c>
      <c r="D186" s="2828" t="s">
        <v>696</v>
      </c>
      <c r="E186" s="2846" t="s">
        <v>1515</v>
      </c>
      <c r="F186" s="2861"/>
      <c r="G186" s="2862"/>
      <c r="H186" s="2863"/>
      <c r="I186" s="2832">
        <f>I187</f>
        <v>1800</v>
      </c>
      <c r="J186" s="389"/>
      <c r="K186" s="389"/>
      <c r="L186" s="389"/>
      <c r="M186" s="537"/>
    </row>
    <row r="187" spans="1:13" ht="17.25" customHeight="1" thickBot="1" x14ac:dyDescent="0.25">
      <c r="A187" s="420"/>
      <c r="B187" s="2847" t="s">
        <v>112</v>
      </c>
      <c r="C187" s="2858" t="str">
        <f>Бюд.р.!A590</f>
        <v>Периодическая печать и издательства</v>
      </c>
      <c r="D187" s="2835">
        <v>968</v>
      </c>
      <c r="E187" s="2856" t="s">
        <v>1518</v>
      </c>
      <c r="F187" s="2848"/>
      <c r="G187" s="2849"/>
      <c r="H187" s="2850"/>
      <c r="I187" s="2839">
        <f>I188</f>
        <v>1800</v>
      </c>
      <c r="J187" s="389"/>
      <c r="K187" s="389"/>
      <c r="L187" s="389"/>
      <c r="M187" s="537"/>
    </row>
    <row r="188" spans="1:13" ht="23.25" customHeight="1" thickBot="1" x14ac:dyDescent="0.25">
      <c r="A188" s="420"/>
      <c r="B188" s="1409" t="s">
        <v>113</v>
      </c>
      <c r="C188" s="1445" t="str">
        <f>Бюд.р.!A591</f>
        <v xml:space="preserve">ОПУБЛИКОВАНИЕ МУНИЦИПАЛЬНЫХ ПРАВОВЫХ АКТОВ, ИНОЙ ИНФОРМАЦИИ </v>
      </c>
      <c r="D188" s="1372">
        <v>968</v>
      </c>
      <c r="E188" s="1348">
        <v>1202</v>
      </c>
      <c r="F188" s="1348" t="s">
        <v>777</v>
      </c>
      <c r="G188" s="1476"/>
      <c r="H188" s="2867"/>
      <c r="I188" s="1433">
        <f>I189</f>
        <v>1800</v>
      </c>
      <c r="J188" s="389"/>
      <c r="K188" s="389"/>
      <c r="L188" s="389"/>
      <c r="M188" s="537"/>
    </row>
    <row r="189" spans="1:13" ht="25.5" customHeight="1" thickBot="1" x14ac:dyDescent="0.25">
      <c r="A189" s="420"/>
      <c r="B189" s="2247" t="s">
        <v>215</v>
      </c>
      <c r="C189" s="1452" t="str">
        <f>Бюд.р.!A592</f>
        <v>Закупка товаров, работ и услуг  для государственных (муниципальных) нужд</v>
      </c>
      <c r="D189" s="1474">
        <v>968</v>
      </c>
      <c r="E189" s="1340">
        <v>1202</v>
      </c>
      <c r="F189" s="1340" t="s">
        <v>777</v>
      </c>
      <c r="G189" s="1475">
        <f>Бюд.р.!F592</f>
        <v>200</v>
      </c>
      <c r="H189" s="1380"/>
      <c r="I189" s="1439">
        <f>Бюд.р.!H593</f>
        <v>1800</v>
      </c>
      <c r="J189" s="389"/>
      <c r="K189" s="389"/>
      <c r="L189" s="389"/>
      <c r="M189" s="537"/>
    </row>
    <row r="190" spans="1:13" ht="20.25" customHeight="1" thickBot="1" x14ac:dyDescent="0.3">
      <c r="A190" s="402" t="s">
        <v>812</v>
      </c>
      <c r="B190" s="1411"/>
      <c r="C190" s="1459" t="s">
        <v>348</v>
      </c>
      <c r="D190" s="1479"/>
      <c r="E190" s="1393"/>
      <c r="F190" s="1394"/>
      <c r="G190" s="1480"/>
      <c r="H190" s="1462"/>
      <c r="I190" s="2700">
        <f>I37+I65</f>
        <v>124658.99999999999</v>
      </c>
      <c r="J190" s="422" t="e">
        <f>J37</f>
        <v>#REF!</v>
      </c>
      <c r="K190" s="422" t="e">
        <f>K37</f>
        <v>#REF!</v>
      </c>
      <c r="L190" s="422" t="e">
        <f>L37</f>
        <v>#REF!</v>
      </c>
      <c r="M190" s="422" t="e">
        <f>M37</f>
        <v>#REF!</v>
      </c>
    </row>
    <row r="191" spans="1:13" hidden="1" x14ac:dyDescent="0.2">
      <c r="A191" s="50" t="s">
        <v>120</v>
      </c>
      <c r="B191" s="372"/>
      <c r="C191" s="373" t="s">
        <v>312</v>
      </c>
      <c r="D191" s="374"/>
      <c r="E191" s="375" t="s">
        <v>922</v>
      </c>
      <c r="F191" s="376" t="s">
        <v>472</v>
      </c>
      <c r="G191" s="376">
        <v>755</v>
      </c>
      <c r="H191" s="375" t="s">
        <v>296</v>
      </c>
      <c r="I191" s="366">
        <f t="shared" ref="I191:I209" si="1">SUM(J191:M191)</f>
        <v>0</v>
      </c>
      <c r="J191" s="377"/>
      <c r="K191" s="377"/>
      <c r="L191" s="377"/>
      <c r="M191" s="377"/>
    </row>
    <row r="192" spans="1:13" ht="23.25" hidden="1" thickBot="1" x14ac:dyDescent="0.25">
      <c r="A192" s="56" t="s">
        <v>783</v>
      </c>
      <c r="B192" s="229"/>
      <c r="C192" s="230" t="s">
        <v>923</v>
      </c>
      <c r="D192" s="28"/>
      <c r="E192" s="14" t="s">
        <v>922</v>
      </c>
      <c r="F192" s="14" t="s">
        <v>472</v>
      </c>
      <c r="G192" s="14" t="s">
        <v>344</v>
      </c>
      <c r="H192" s="14" t="s">
        <v>345</v>
      </c>
      <c r="I192" s="341">
        <f t="shared" si="1"/>
        <v>0</v>
      </c>
      <c r="J192" s="338"/>
      <c r="K192" s="338"/>
      <c r="L192" s="338"/>
      <c r="M192" s="338"/>
    </row>
    <row r="193" spans="1:13" ht="21" hidden="1" customHeight="1" thickBot="1" x14ac:dyDescent="0.3">
      <c r="A193" s="220"/>
      <c r="B193" s="1412"/>
      <c r="C193" s="234" t="s">
        <v>348</v>
      </c>
      <c r="D193" s="232"/>
      <c r="E193" s="233"/>
      <c r="F193" s="233"/>
      <c r="G193" s="233"/>
      <c r="H193" s="233"/>
      <c r="I193" s="341">
        <f t="shared" si="1"/>
        <v>0</v>
      </c>
      <c r="J193" s="339"/>
      <c r="K193" s="339"/>
      <c r="L193" s="339"/>
      <c r="M193" s="339"/>
    </row>
    <row r="194" spans="1:13" hidden="1" x14ac:dyDescent="0.2">
      <c r="C194" t="s">
        <v>964</v>
      </c>
      <c r="I194" s="341">
        <f t="shared" si="1"/>
        <v>0</v>
      </c>
      <c r="J194" s="40"/>
      <c r="K194" s="40"/>
      <c r="L194" s="40"/>
      <c r="M194" s="40"/>
    </row>
    <row r="195" spans="1:13" hidden="1" x14ac:dyDescent="0.2">
      <c r="C195" s="29" t="s">
        <v>935</v>
      </c>
      <c r="D195" s="29"/>
      <c r="E195" s="29"/>
      <c r="F195" s="29"/>
      <c r="G195" s="29"/>
      <c r="H195" s="29"/>
      <c r="I195" s="341">
        <f t="shared" si="1"/>
        <v>0</v>
      </c>
      <c r="J195" s="29"/>
      <c r="K195" s="29"/>
      <c r="L195" s="29"/>
      <c r="M195" s="29"/>
    </row>
    <row r="196" spans="1:13" hidden="1" x14ac:dyDescent="0.2">
      <c r="C196" t="s">
        <v>963</v>
      </c>
      <c r="I196" s="341">
        <f t="shared" si="1"/>
        <v>0</v>
      </c>
    </row>
    <row r="197" spans="1:13" hidden="1" x14ac:dyDescent="0.2">
      <c r="C197" t="s">
        <v>934</v>
      </c>
      <c r="I197" s="341">
        <f t="shared" si="1"/>
        <v>0</v>
      </c>
    </row>
    <row r="198" spans="1:13" hidden="1" x14ac:dyDescent="0.2">
      <c r="C198" t="s">
        <v>933</v>
      </c>
      <c r="I198" s="341">
        <f t="shared" si="1"/>
        <v>0</v>
      </c>
    </row>
    <row r="199" spans="1:13" hidden="1" x14ac:dyDescent="0.2">
      <c r="I199" s="341">
        <f t="shared" si="1"/>
        <v>0</v>
      </c>
    </row>
    <row r="200" spans="1:13" hidden="1" x14ac:dyDescent="0.2">
      <c r="C200" s="180" t="s">
        <v>938</v>
      </c>
      <c r="D200" s="142"/>
      <c r="E200" s="142"/>
      <c r="F200" s="142"/>
      <c r="G200" s="142"/>
      <c r="H200" s="142"/>
      <c r="I200" s="341">
        <f t="shared" si="1"/>
        <v>0</v>
      </c>
      <c r="J200" s="142"/>
      <c r="K200" s="142"/>
      <c r="L200" s="142"/>
      <c r="M200" s="142"/>
    </row>
    <row r="201" spans="1:13" hidden="1" x14ac:dyDescent="0.2">
      <c r="C201" s="176" t="s">
        <v>936</v>
      </c>
      <c r="D201" s="40"/>
      <c r="E201" s="40"/>
      <c r="F201" s="40" t="e">
        <f>#REF!-#REF!</f>
        <v>#REF!</v>
      </c>
      <c r="G201" s="40"/>
      <c r="H201" s="40"/>
      <c r="I201" s="341">
        <f t="shared" si="1"/>
        <v>0</v>
      </c>
      <c r="J201" s="40"/>
      <c r="K201" s="40"/>
      <c r="L201" s="40"/>
      <c r="M201" s="40"/>
    </row>
    <row r="202" spans="1:13" ht="13.5" hidden="1" thickBot="1" x14ac:dyDescent="0.25">
      <c r="C202" s="177" t="s">
        <v>932</v>
      </c>
      <c r="D202" s="178"/>
      <c r="E202" s="178"/>
      <c r="F202" s="40" t="e">
        <f>#REF!-#REF!</f>
        <v>#REF!</v>
      </c>
      <c r="G202" s="178"/>
      <c r="H202" s="178"/>
      <c r="I202" s="341">
        <f t="shared" si="1"/>
        <v>0</v>
      </c>
      <c r="J202" s="178"/>
      <c r="K202" s="178"/>
      <c r="L202" s="178"/>
      <c r="M202" s="178"/>
    </row>
    <row r="203" spans="1:13" hidden="1" x14ac:dyDescent="0.2">
      <c r="C203" s="180" t="s">
        <v>937</v>
      </c>
      <c r="D203" s="142"/>
      <c r="E203" s="142"/>
      <c r="F203" s="142"/>
      <c r="G203" s="142"/>
      <c r="H203" s="142"/>
      <c r="I203" s="341">
        <f t="shared" si="1"/>
        <v>0</v>
      </c>
      <c r="J203" s="142"/>
      <c r="K203" s="142"/>
      <c r="L203" s="142"/>
      <c r="M203" s="142"/>
    </row>
    <row r="204" spans="1:13" hidden="1" x14ac:dyDescent="0.2">
      <c r="C204" s="176" t="s">
        <v>936</v>
      </c>
      <c r="D204" s="40"/>
      <c r="E204" s="40"/>
      <c r="F204" s="174" t="e">
        <f>#REF!-#REF!</f>
        <v>#REF!</v>
      </c>
      <c r="G204" s="40"/>
      <c r="H204" s="40"/>
      <c r="I204" s="341">
        <f t="shared" si="1"/>
        <v>0</v>
      </c>
      <c r="J204" s="174"/>
      <c r="K204" s="174"/>
      <c r="L204" s="174"/>
      <c r="M204" s="174"/>
    </row>
    <row r="205" spans="1:13" ht="13.5" hidden="1" thickBot="1" x14ac:dyDescent="0.25">
      <c r="C205" s="177" t="s">
        <v>932</v>
      </c>
      <c r="D205" s="178"/>
      <c r="E205" s="178"/>
      <c r="F205" s="179" t="e">
        <f>#REF!-#REF!</f>
        <v>#REF!</v>
      </c>
      <c r="G205" s="178"/>
      <c r="H205" s="178"/>
      <c r="I205" s="341">
        <f t="shared" si="1"/>
        <v>0</v>
      </c>
      <c r="J205" s="179"/>
      <c r="K205" s="179"/>
      <c r="L205" s="179"/>
      <c r="M205" s="179"/>
    </row>
    <row r="206" spans="1:13" hidden="1" x14ac:dyDescent="0.2">
      <c r="I206" s="341">
        <f t="shared" si="1"/>
        <v>0</v>
      </c>
      <c r="J206" s="175"/>
      <c r="K206" s="175"/>
      <c r="L206" s="175"/>
      <c r="M206" s="175"/>
    </row>
    <row r="207" spans="1:13" hidden="1" x14ac:dyDescent="0.2">
      <c r="C207" t="s">
        <v>369</v>
      </c>
      <c r="I207" s="341">
        <f t="shared" si="1"/>
        <v>0</v>
      </c>
    </row>
    <row r="208" spans="1:13" hidden="1" x14ac:dyDescent="0.2">
      <c r="C208" t="s">
        <v>370</v>
      </c>
      <c r="I208" s="341">
        <f t="shared" si="1"/>
        <v>0</v>
      </c>
    </row>
    <row r="209" spans="2:13" hidden="1" x14ac:dyDescent="0.2">
      <c r="C209" t="s">
        <v>371</v>
      </c>
      <c r="I209" s="421">
        <f t="shared" si="1"/>
        <v>0</v>
      </c>
    </row>
    <row r="210" spans="2:13" x14ac:dyDescent="0.2">
      <c r="B210" s="1414"/>
      <c r="C210" s="40"/>
      <c r="D210" s="40"/>
      <c r="E210" s="40"/>
      <c r="F210" s="40"/>
      <c r="G210" s="40"/>
      <c r="H210" s="40"/>
      <c r="I210" s="419"/>
      <c r="J210" s="40"/>
      <c r="K210" s="40"/>
      <c r="L210" s="40"/>
      <c r="M210" s="40"/>
    </row>
  </sheetData>
  <mergeCells count="24">
    <mergeCell ref="C18:I18"/>
    <mergeCell ref="C19:J19"/>
    <mergeCell ref="D20:J20"/>
    <mergeCell ref="C16:J16"/>
    <mergeCell ref="D17:J17"/>
    <mergeCell ref="D6:I6"/>
    <mergeCell ref="C13:J13"/>
    <mergeCell ref="B6:C6"/>
    <mergeCell ref="D11:J11"/>
    <mergeCell ref="C23:I23"/>
    <mergeCell ref="B7:I7"/>
    <mergeCell ref="B22:I22"/>
    <mergeCell ref="B21:I21"/>
    <mergeCell ref="C8:I8"/>
    <mergeCell ref="C9:I9"/>
    <mergeCell ref="C12:I12"/>
    <mergeCell ref="C15:I15"/>
    <mergeCell ref="D14:J14"/>
    <mergeCell ref="B1:I1"/>
    <mergeCell ref="B2:I2"/>
    <mergeCell ref="B3:I3"/>
    <mergeCell ref="B4:I4"/>
    <mergeCell ref="B5:I5"/>
    <mergeCell ref="C10:J10"/>
  </mergeCells>
  <phoneticPr fontId="11" type="noConversion"/>
  <pageMargins left="0.53" right="0.24" top="0.71" bottom="0.61" header="0.17" footer="0.3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C42" workbookViewId="0">
      <selection activeCell="G24" sqref="G24:G33"/>
    </sheetView>
  </sheetViews>
  <sheetFormatPr defaultRowHeight="12.75" x14ac:dyDescent="0.2"/>
  <cols>
    <col min="1" max="1" width="6.28515625" customWidth="1"/>
    <col min="2" max="2" width="20.28515625" customWidth="1"/>
    <col min="3" max="3" width="54" customWidth="1"/>
    <col min="4" max="4" width="8.28515625" customWidth="1"/>
    <col min="5" max="5" width="7.5703125" customWidth="1"/>
    <col min="6" max="6" width="6.85546875" customWidth="1"/>
    <col min="7" max="7" width="6.5703125" customWidth="1"/>
    <col min="8" max="8" width="8.28515625" customWidth="1"/>
    <col min="9" max="9" width="6.7109375" customWidth="1"/>
  </cols>
  <sheetData>
    <row r="1" spans="1:10" ht="13.5" thickBot="1" x14ac:dyDescent="0.25">
      <c r="A1" s="3022" t="s">
        <v>909</v>
      </c>
      <c r="B1" s="3023"/>
      <c r="C1" s="3023"/>
      <c r="D1" s="3023"/>
      <c r="E1" s="3023"/>
      <c r="F1" s="3023"/>
      <c r="G1" s="3023"/>
      <c r="H1" s="3023"/>
      <c r="I1" s="142"/>
      <c r="J1" s="647"/>
    </row>
    <row r="2" spans="1:10" ht="24.75" customHeight="1" x14ac:dyDescent="0.2">
      <c r="A2" s="648"/>
      <c r="B2" s="3031" t="s">
        <v>547</v>
      </c>
      <c r="C2" s="3033" t="s">
        <v>928</v>
      </c>
      <c r="D2" s="3024" t="s">
        <v>910</v>
      </c>
      <c r="E2" s="3028" t="s">
        <v>911</v>
      </c>
      <c r="F2" s="3026" t="s">
        <v>545</v>
      </c>
      <c r="G2" s="3024" t="s">
        <v>543</v>
      </c>
      <c r="H2" s="3025"/>
      <c r="I2" s="3024" t="s">
        <v>544</v>
      </c>
      <c r="J2" s="3026"/>
    </row>
    <row r="3" spans="1:10" ht="47.25" customHeight="1" thickBot="1" x14ac:dyDescent="0.25">
      <c r="A3" s="648"/>
      <c r="B3" s="3032"/>
      <c r="C3" s="3034"/>
      <c r="D3" s="3027"/>
      <c r="E3" s="3029"/>
      <c r="F3" s="3030"/>
      <c r="G3" s="672" t="s">
        <v>546</v>
      </c>
      <c r="H3" s="674" t="s">
        <v>322</v>
      </c>
      <c r="I3" s="672" t="s">
        <v>546</v>
      </c>
      <c r="J3" s="673" t="s">
        <v>322</v>
      </c>
    </row>
    <row r="4" spans="1:10" ht="25.5" x14ac:dyDescent="0.2">
      <c r="A4" s="675" t="s">
        <v>185</v>
      </c>
      <c r="B4" s="660" t="s">
        <v>186</v>
      </c>
      <c r="C4" s="649" t="s">
        <v>391</v>
      </c>
      <c r="D4" s="706">
        <v>4885.1049999999996</v>
      </c>
      <c r="E4" s="707">
        <v>5471.317</v>
      </c>
      <c r="F4" s="708">
        <f>E4/D4%</f>
        <v>111.99998771776657</v>
      </c>
      <c r="G4" s="729">
        <f>H4/E4%</f>
        <v>349.82436587022835</v>
      </c>
      <c r="H4" s="705">
        <f>кв!D24</f>
        <v>19140</v>
      </c>
      <c r="I4" s="717">
        <v>110</v>
      </c>
      <c r="J4" s="718">
        <f>E4*I4%</f>
        <v>6018.4487000000008</v>
      </c>
    </row>
    <row r="5" spans="1:10" ht="38.25" x14ac:dyDescent="0.2">
      <c r="A5" s="675" t="s">
        <v>185</v>
      </c>
      <c r="B5" s="661" t="s">
        <v>241</v>
      </c>
      <c r="C5" s="604" t="s">
        <v>392</v>
      </c>
      <c r="D5" s="669">
        <v>1221.087</v>
      </c>
      <c r="E5" s="570">
        <v>1379.828</v>
      </c>
      <c r="F5" s="709">
        <f t="shared" ref="F5:F44" si="0">E5/D5%</f>
        <v>112.99997461278353</v>
      </c>
      <c r="G5" s="714">
        <f t="shared" ref="G5:G44" si="1">H5/E5%</f>
        <v>366.06011763785051</v>
      </c>
      <c r="H5" s="700">
        <f>кв!D27</f>
        <v>5051</v>
      </c>
      <c r="I5" s="719">
        <v>110</v>
      </c>
      <c r="J5" s="720">
        <f t="shared" ref="J5:J44" si="2">E5*I5%</f>
        <v>1517.8108000000002</v>
      </c>
    </row>
    <row r="6" spans="1:10" x14ac:dyDescent="0.2">
      <c r="A6" s="676" t="s">
        <v>185</v>
      </c>
      <c r="B6" s="662" t="s">
        <v>554</v>
      </c>
      <c r="C6" s="650" t="s">
        <v>325</v>
      </c>
      <c r="D6" s="669">
        <v>22038.18</v>
      </c>
      <c r="E6" s="570">
        <v>23580.851999999999</v>
      </c>
      <c r="F6" s="709">
        <f t="shared" si="0"/>
        <v>106.99999727745212</v>
      </c>
      <c r="G6" s="714">
        <f t="shared" si="1"/>
        <v>141.35621562783228</v>
      </c>
      <c r="H6" s="701">
        <f>кв!D32</f>
        <v>33333</v>
      </c>
      <c r="I6" s="719">
        <v>110</v>
      </c>
      <c r="J6" s="720">
        <f t="shared" si="2"/>
        <v>25938.9372</v>
      </c>
    </row>
    <row r="7" spans="1:10" ht="28.5" hidden="1" x14ac:dyDescent="0.2">
      <c r="A7" s="677" t="s">
        <v>184</v>
      </c>
      <c r="B7" s="688" t="s">
        <v>187</v>
      </c>
      <c r="C7" s="603" t="s">
        <v>326</v>
      </c>
      <c r="D7" s="721"/>
      <c r="E7" s="722"/>
      <c r="F7" s="709" t="e">
        <f t="shared" si="0"/>
        <v>#DIV/0!</v>
      </c>
      <c r="G7" s="714" t="e">
        <f t="shared" si="1"/>
        <v>#REF!</v>
      </c>
      <c r="H7" s="723" t="e">
        <f>SUM(#REF!)</f>
        <v>#REF!</v>
      </c>
      <c r="I7" s="719">
        <v>110</v>
      </c>
      <c r="J7" s="720">
        <f t="shared" si="2"/>
        <v>0</v>
      </c>
    </row>
    <row r="8" spans="1:10" hidden="1" x14ac:dyDescent="0.2">
      <c r="A8" s="678" t="s">
        <v>185</v>
      </c>
      <c r="B8" s="663" t="s">
        <v>734</v>
      </c>
      <c r="C8" s="651" t="s">
        <v>327</v>
      </c>
      <c r="D8" s="724"/>
      <c r="E8" s="725"/>
      <c r="F8" s="709" t="e">
        <f t="shared" si="0"/>
        <v>#DIV/0!</v>
      </c>
      <c r="G8" s="714" t="e">
        <f t="shared" si="1"/>
        <v>#REF!</v>
      </c>
      <c r="H8" s="703" t="e">
        <f>SUM(#REF!)</f>
        <v>#REF!</v>
      </c>
      <c r="I8" s="719">
        <v>110</v>
      </c>
      <c r="J8" s="720">
        <f t="shared" si="2"/>
        <v>0</v>
      </c>
    </row>
    <row r="9" spans="1:10" ht="63.75" x14ac:dyDescent="0.2">
      <c r="A9" s="679" t="s">
        <v>185</v>
      </c>
      <c r="B9" s="661" t="s">
        <v>555</v>
      </c>
      <c r="C9" s="604" t="s">
        <v>888</v>
      </c>
      <c r="D9" s="669">
        <v>19788.439999999999</v>
      </c>
      <c r="E9" s="570">
        <v>21292.361000000001</v>
      </c>
      <c r="F9" s="709">
        <f t="shared" si="0"/>
        <v>107.59999777647961</v>
      </c>
      <c r="G9" s="714">
        <f t="shared" si="1"/>
        <v>185.04241967342185</v>
      </c>
      <c r="H9" s="701">
        <f>кв!D39</f>
        <v>39399.9</v>
      </c>
      <c r="I9" s="719">
        <v>110</v>
      </c>
      <c r="J9" s="720">
        <f t="shared" si="2"/>
        <v>23421.597100000003</v>
      </c>
    </row>
    <row r="10" spans="1:10" ht="28.5" hidden="1" x14ac:dyDescent="0.2">
      <c r="A10" s="680" t="s">
        <v>184</v>
      </c>
      <c r="B10" s="688" t="s">
        <v>136</v>
      </c>
      <c r="C10" s="603" t="s">
        <v>525</v>
      </c>
      <c r="D10" s="721"/>
      <c r="E10" s="722"/>
      <c r="F10" s="709" t="e">
        <f t="shared" si="0"/>
        <v>#DIV/0!</v>
      </c>
      <c r="G10" s="714" t="e">
        <f t="shared" si="1"/>
        <v>#REF!</v>
      </c>
      <c r="H10" s="723" t="e">
        <f>H11</f>
        <v>#REF!</v>
      </c>
      <c r="I10" s="719">
        <v>110</v>
      </c>
      <c r="J10" s="720">
        <f t="shared" si="2"/>
        <v>0</v>
      </c>
    </row>
    <row r="11" spans="1:10" hidden="1" x14ac:dyDescent="0.2">
      <c r="A11" s="681" t="s">
        <v>184</v>
      </c>
      <c r="B11" s="664" t="s">
        <v>899</v>
      </c>
      <c r="C11" s="651" t="s">
        <v>900</v>
      </c>
      <c r="D11" s="724"/>
      <c r="E11" s="725"/>
      <c r="F11" s="709" t="e">
        <f t="shared" si="0"/>
        <v>#DIV/0!</v>
      </c>
      <c r="G11" s="714" t="e">
        <f t="shared" si="1"/>
        <v>#REF!</v>
      </c>
      <c r="H11" s="703" t="e">
        <f>SUM(#REF!)</f>
        <v>#REF!</v>
      </c>
      <c r="I11" s="719">
        <v>110</v>
      </c>
      <c r="J11" s="720">
        <f t="shared" si="2"/>
        <v>0</v>
      </c>
    </row>
    <row r="12" spans="1:10" ht="25.5" x14ac:dyDescent="0.2">
      <c r="A12" s="682" t="s">
        <v>185</v>
      </c>
      <c r="B12" s="665" t="s">
        <v>238</v>
      </c>
      <c r="C12" s="604" t="s">
        <v>328</v>
      </c>
      <c r="D12" s="669">
        <v>35</v>
      </c>
      <c r="E12" s="570">
        <v>45.85</v>
      </c>
      <c r="F12" s="709">
        <f t="shared" si="0"/>
        <v>131</v>
      </c>
      <c r="G12" s="714">
        <f t="shared" si="1"/>
        <v>21.810250817884405</v>
      </c>
      <c r="H12" s="703">
        <f>кв!D42</f>
        <v>10</v>
      </c>
      <c r="I12" s="719">
        <v>110</v>
      </c>
      <c r="J12" s="720">
        <f t="shared" si="2"/>
        <v>50.435000000000002</v>
      </c>
    </row>
    <row r="13" spans="1:10" ht="15.75" hidden="1" x14ac:dyDescent="0.2">
      <c r="A13" s="683"/>
      <c r="B13" s="689"/>
      <c r="C13" s="652" t="s">
        <v>534</v>
      </c>
      <c r="D13" s="711"/>
      <c r="E13" s="712"/>
      <c r="F13" s="709" t="e">
        <f t="shared" si="0"/>
        <v>#DIV/0!</v>
      </c>
      <c r="G13" s="710" t="e">
        <f t="shared" si="1"/>
        <v>#DIV/0!</v>
      </c>
      <c r="H13" s="704"/>
      <c r="I13" s="719">
        <v>110</v>
      </c>
      <c r="J13" s="720">
        <f t="shared" si="2"/>
        <v>0</v>
      </c>
    </row>
    <row r="14" spans="1:10" ht="36" hidden="1" x14ac:dyDescent="0.2">
      <c r="A14" s="677" t="s">
        <v>184</v>
      </c>
      <c r="B14" s="688" t="s">
        <v>142</v>
      </c>
      <c r="C14" s="603" t="s">
        <v>143</v>
      </c>
      <c r="D14" s="721"/>
      <c r="E14" s="722"/>
      <c r="F14" s="709" t="e">
        <f t="shared" si="0"/>
        <v>#DIV/0!</v>
      </c>
      <c r="G14" s="710" t="e">
        <f t="shared" si="1"/>
        <v>#REF!</v>
      </c>
      <c r="H14" s="723" t="e">
        <f>H15+H18</f>
        <v>#REF!</v>
      </c>
      <c r="I14" s="719">
        <v>110</v>
      </c>
      <c r="J14" s="720">
        <f t="shared" si="2"/>
        <v>0</v>
      </c>
    </row>
    <row r="15" spans="1:10" ht="24" hidden="1" x14ac:dyDescent="0.2">
      <c r="A15" s="681" t="s">
        <v>696</v>
      </c>
      <c r="B15" s="664" t="s">
        <v>144</v>
      </c>
      <c r="C15" s="653" t="s">
        <v>145</v>
      </c>
      <c r="D15" s="726"/>
      <c r="E15" s="727"/>
      <c r="F15" s="709" t="e">
        <f t="shared" si="0"/>
        <v>#DIV/0!</v>
      </c>
      <c r="G15" s="710" t="e">
        <f t="shared" si="1"/>
        <v>#REF!</v>
      </c>
      <c r="H15" s="646" t="e">
        <f>H17</f>
        <v>#REF!</v>
      </c>
      <c r="I15" s="719">
        <v>110</v>
      </c>
      <c r="J15" s="720">
        <f t="shared" si="2"/>
        <v>0</v>
      </c>
    </row>
    <row r="16" spans="1:10" ht="89.25" hidden="1" x14ac:dyDescent="0.2">
      <c r="A16" s="682" t="s">
        <v>696</v>
      </c>
      <c r="B16" s="665" t="s">
        <v>226</v>
      </c>
      <c r="C16" s="654" t="s">
        <v>771</v>
      </c>
      <c r="D16" s="666"/>
      <c r="E16" s="569"/>
      <c r="F16" s="709" t="e">
        <f t="shared" si="0"/>
        <v>#DIV/0!</v>
      </c>
      <c r="G16" s="710" t="e">
        <f t="shared" si="1"/>
        <v>#REF!</v>
      </c>
      <c r="H16" s="646" t="e">
        <f>H17</f>
        <v>#REF!</v>
      </c>
      <c r="I16" s="719">
        <v>110</v>
      </c>
      <c r="J16" s="720">
        <f t="shared" si="2"/>
        <v>0</v>
      </c>
    </row>
    <row r="17" spans="1:10" ht="60" hidden="1" x14ac:dyDescent="0.2">
      <c r="A17" s="682" t="s">
        <v>696</v>
      </c>
      <c r="B17" s="666" t="s">
        <v>146</v>
      </c>
      <c r="C17" s="655" t="s">
        <v>418</v>
      </c>
      <c r="D17" s="666"/>
      <c r="E17" s="569"/>
      <c r="F17" s="709" t="e">
        <f t="shared" si="0"/>
        <v>#DIV/0!</v>
      </c>
      <c r="G17" s="710" t="e">
        <f t="shared" si="1"/>
        <v>#REF!</v>
      </c>
      <c r="H17" s="646" t="e">
        <f>SUM(#REF!)</f>
        <v>#REF!</v>
      </c>
      <c r="I17" s="719">
        <v>110</v>
      </c>
      <c r="J17" s="720">
        <f t="shared" si="2"/>
        <v>0</v>
      </c>
    </row>
    <row r="18" spans="1:10" ht="24" hidden="1" x14ac:dyDescent="0.2">
      <c r="A18" s="681" t="s">
        <v>696</v>
      </c>
      <c r="B18" s="664" t="s">
        <v>147</v>
      </c>
      <c r="C18" s="653" t="s">
        <v>148</v>
      </c>
      <c r="D18" s="726"/>
      <c r="E18" s="727"/>
      <c r="F18" s="709" t="e">
        <f t="shared" si="0"/>
        <v>#DIV/0!</v>
      </c>
      <c r="G18" s="710" t="e">
        <f t="shared" si="1"/>
        <v>#REF!</v>
      </c>
      <c r="H18" s="646" t="e">
        <f>H19</f>
        <v>#REF!</v>
      </c>
      <c r="I18" s="719">
        <v>110</v>
      </c>
      <c r="J18" s="720">
        <f t="shared" si="2"/>
        <v>0</v>
      </c>
    </row>
    <row r="19" spans="1:10" ht="38.25" hidden="1" x14ac:dyDescent="0.2">
      <c r="A19" s="682" t="s">
        <v>696</v>
      </c>
      <c r="B19" s="665" t="s">
        <v>149</v>
      </c>
      <c r="C19" s="654" t="s">
        <v>150</v>
      </c>
      <c r="D19" s="666"/>
      <c r="E19" s="569"/>
      <c r="F19" s="709" t="e">
        <f t="shared" si="0"/>
        <v>#DIV/0!</v>
      </c>
      <c r="G19" s="710" t="e">
        <f t="shared" si="1"/>
        <v>#REF!</v>
      </c>
      <c r="H19" s="646" t="e">
        <f>H20</f>
        <v>#REF!</v>
      </c>
      <c r="I19" s="719">
        <v>110</v>
      </c>
      <c r="J19" s="720">
        <f t="shared" si="2"/>
        <v>0</v>
      </c>
    </row>
    <row r="20" spans="1:10" ht="60" hidden="1" x14ac:dyDescent="0.2">
      <c r="A20" s="684" t="s">
        <v>696</v>
      </c>
      <c r="B20" s="666" t="s">
        <v>151</v>
      </c>
      <c r="C20" s="655" t="s">
        <v>419</v>
      </c>
      <c r="D20" s="666"/>
      <c r="E20" s="569"/>
      <c r="F20" s="709" t="e">
        <f t="shared" si="0"/>
        <v>#DIV/0!</v>
      </c>
      <c r="G20" s="710" t="e">
        <f t="shared" si="1"/>
        <v>#REF!</v>
      </c>
      <c r="H20" s="646" t="e">
        <f>SUM(#REF!)</f>
        <v>#REF!</v>
      </c>
      <c r="I20" s="719">
        <v>110</v>
      </c>
      <c r="J20" s="720">
        <f t="shared" si="2"/>
        <v>0</v>
      </c>
    </row>
    <row r="21" spans="1:10" ht="28.5" hidden="1" x14ac:dyDescent="0.2">
      <c r="A21" s="677" t="s">
        <v>184</v>
      </c>
      <c r="B21" s="688" t="s">
        <v>979</v>
      </c>
      <c r="C21" s="603" t="s">
        <v>978</v>
      </c>
      <c r="D21" s="721"/>
      <c r="E21" s="722"/>
      <c r="F21" s="709" t="e">
        <f t="shared" si="0"/>
        <v>#DIV/0!</v>
      </c>
      <c r="G21" s="710" t="e">
        <f t="shared" si="1"/>
        <v>#REF!</v>
      </c>
      <c r="H21" s="723" t="e">
        <f>H22</f>
        <v>#REF!</v>
      </c>
      <c r="I21" s="719">
        <v>110</v>
      </c>
      <c r="J21" s="720">
        <f t="shared" si="2"/>
        <v>0</v>
      </c>
    </row>
    <row r="22" spans="1:10" ht="24" hidden="1" x14ac:dyDescent="0.2">
      <c r="A22" s="681" t="s">
        <v>184</v>
      </c>
      <c r="B22" s="664" t="s">
        <v>980</v>
      </c>
      <c r="C22" s="653" t="s">
        <v>981</v>
      </c>
      <c r="D22" s="726"/>
      <c r="E22" s="727"/>
      <c r="F22" s="709" t="e">
        <f t="shared" si="0"/>
        <v>#DIV/0!</v>
      </c>
      <c r="G22" s="710" t="e">
        <f t="shared" si="1"/>
        <v>#REF!</v>
      </c>
      <c r="H22" s="646" t="e">
        <f>H23</f>
        <v>#REF!</v>
      </c>
      <c r="I22" s="719">
        <v>110</v>
      </c>
      <c r="J22" s="720">
        <f t="shared" si="2"/>
        <v>0</v>
      </c>
    </row>
    <row r="23" spans="1:10" ht="76.5" hidden="1" x14ac:dyDescent="0.2">
      <c r="A23" s="682" t="s">
        <v>184</v>
      </c>
      <c r="B23" s="665" t="s">
        <v>983</v>
      </c>
      <c r="C23" s="654" t="s">
        <v>420</v>
      </c>
      <c r="D23" s="666"/>
      <c r="E23" s="569"/>
      <c r="F23" s="709" t="e">
        <f t="shared" si="0"/>
        <v>#DIV/0!</v>
      </c>
      <c r="G23" s="710" t="e">
        <f t="shared" si="1"/>
        <v>#REF!</v>
      </c>
      <c r="H23" s="646" t="e">
        <f>SUM(H24:H25)</f>
        <v>#REF!</v>
      </c>
      <c r="I23" s="719">
        <v>110</v>
      </c>
      <c r="J23" s="720">
        <f t="shared" si="2"/>
        <v>0</v>
      </c>
    </row>
    <row r="24" spans="1:10" ht="60" x14ac:dyDescent="0.2">
      <c r="A24" s="684" t="s">
        <v>982</v>
      </c>
      <c r="B24" s="666" t="s">
        <v>421</v>
      </c>
      <c r="C24" s="656" t="s">
        <v>422</v>
      </c>
      <c r="D24" s="667">
        <v>1469.7</v>
      </c>
      <c r="E24" s="668">
        <v>1518.9</v>
      </c>
      <c r="F24" s="713">
        <f t="shared" si="0"/>
        <v>103.34762196366606</v>
      </c>
      <c r="G24" s="714">
        <f t="shared" si="1"/>
        <v>59.253407070906576</v>
      </c>
      <c r="H24" s="697">
        <f>кв!D55</f>
        <v>900</v>
      </c>
      <c r="I24" s="719">
        <v>110</v>
      </c>
      <c r="J24" s="720">
        <f t="shared" si="2"/>
        <v>1670.7900000000002</v>
      </c>
    </row>
    <row r="25" spans="1:10" ht="48" hidden="1" x14ac:dyDescent="0.2">
      <c r="A25" s="684" t="s">
        <v>184</v>
      </c>
      <c r="B25" s="666" t="s">
        <v>781</v>
      </c>
      <c r="C25" s="656" t="s">
        <v>780</v>
      </c>
      <c r="D25" s="667"/>
      <c r="E25" s="668"/>
      <c r="F25" s="709" t="e">
        <f t="shared" si="0"/>
        <v>#DIV/0!</v>
      </c>
      <c r="G25" s="714" t="e">
        <f t="shared" si="1"/>
        <v>#REF!</v>
      </c>
      <c r="H25" s="697" t="e">
        <f>SUM(#REF!)</f>
        <v>#REF!</v>
      </c>
      <c r="I25" s="719">
        <v>110</v>
      </c>
      <c r="J25" s="720">
        <f t="shared" si="2"/>
        <v>0</v>
      </c>
    </row>
    <row r="26" spans="1:10" ht="28.5" hidden="1" x14ac:dyDescent="0.2">
      <c r="A26" s="677" t="s">
        <v>184</v>
      </c>
      <c r="B26" s="688" t="s">
        <v>137</v>
      </c>
      <c r="C26" s="603" t="s">
        <v>138</v>
      </c>
      <c r="D26" s="721"/>
      <c r="E26" s="722"/>
      <c r="F26" s="709" t="e">
        <f t="shared" si="0"/>
        <v>#DIV/0!</v>
      </c>
      <c r="G26" s="714" t="e">
        <f t="shared" si="1"/>
        <v>#REF!</v>
      </c>
      <c r="H26" s="728" t="e">
        <f>H27+H30</f>
        <v>#REF!</v>
      </c>
      <c r="I26" s="719">
        <v>110</v>
      </c>
      <c r="J26" s="720">
        <f t="shared" si="2"/>
        <v>0</v>
      </c>
    </row>
    <row r="27" spans="1:10" ht="60" hidden="1" x14ac:dyDescent="0.2">
      <c r="A27" s="681" t="s">
        <v>696</v>
      </c>
      <c r="B27" s="664" t="s">
        <v>139</v>
      </c>
      <c r="C27" s="653" t="s">
        <v>357</v>
      </c>
      <c r="D27" s="726"/>
      <c r="E27" s="727"/>
      <c r="F27" s="709" t="e">
        <f t="shared" si="0"/>
        <v>#DIV/0!</v>
      </c>
      <c r="G27" s="714" t="e">
        <f t="shared" si="1"/>
        <v>#REF!</v>
      </c>
      <c r="H27" s="697" t="e">
        <f>SUM(H28:H29)</f>
        <v>#REF!</v>
      </c>
      <c r="I27" s="719">
        <v>110</v>
      </c>
      <c r="J27" s="720">
        <f t="shared" si="2"/>
        <v>0</v>
      </c>
    </row>
    <row r="28" spans="1:10" ht="89.25" hidden="1" x14ac:dyDescent="0.2">
      <c r="A28" s="682" t="s">
        <v>696</v>
      </c>
      <c r="B28" s="665" t="s">
        <v>140</v>
      </c>
      <c r="C28" s="654" t="s">
        <v>754</v>
      </c>
      <c r="D28" s="666"/>
      <c r="E28" s="569"/>
      <c r="F28" s="709" t="e">
        <f t="shared" si="0"/>
        <v>#DIV/0!</v>
      </c>
      <c r="G28" s="714" t="e">
        <f t="shared" si="1"/>
        <v>#REF!</v>
      </c>
      <c r="H28" s="697" t="e">
        <f>SUM(#REF!)</f>
        <v>#REF!</v>
      </c>
      <c r="I28" s="719">
        <v>110</v>
      </c>
      <c r="J28" s="720">
        <f t="shared" si="2"/>
        <v>0</v>
      </c>
    </row>
    <row r="29" spans="1:10" ht="89.25" hidden="1" x14ac:dyDescent="0.2">
      <c r="A29" s="682" t="s">
        <v>696</v>
      </c>
      <c r="B29" s="665" t="s">
        <v>141</v>
      </c>
      <c r="C29" s="654" t="s">
        <v>400</v>
      </c>
      <c r="D29" s="666"/>
      <c r="E29" s="569"/>
      <c r="F29" s="709" t="e">
        <f t="shared" si="0"/>
        <v>#DIV/0!</v>
      </c>
      <c r="G29" s="714" t="e">
        <f t="shared" si="1"/>
        <v>#REF!</v>
      </c>
      <c r="H29" s="697" t="e">
        <f>SUM(#REF!)</f>
        <v>#REF!</v>
      </c>
      <c r="I29" s="719">
        <v>110</v>
      </c>
      <c r="J29" s="720">
        <f t="shared" si="2"/>
        <v>0</v>
      </c>
    </row>
    <row r="30" spans="1:10" hidden="1" x14ac:dyDescent="0.2">
      <c r="A30" s="681" t="s">
        <v>696</v>
      </c>
      <c r="B30" s="664" t="s">
        <v>256</v>
      </c>
      <c r="C30" s="653" t="s">
        <v>257</v>
      </c>
      <c r="D30" s="726"/>
      <c r="E30" s="727"/>
      <c r="F30" s="709" t="e">
        <f t="shared" si="0"/>
        <v>#DIV/0!</v>
      </c>
      <c r="G30" s="714" t="e">
        <f t="shared" si="1"/>
        <v>#REF!</v>
      </c>
      <c r="H30" s="697" t="e">
        <f>H31</f>
        <v>#REF!</v>
      </c>
      <c r="I30" s="719">
        <v>110</v>
      </c>
      <c r="J30" s="720">
        <f t="shared" si="2"/>
        <v>0</v>
      </c>
    </row>
    <row r="31" spans="1:10" ht="51" hidden="1" x14ac:dyDescent="0.2">
      <c r="A31" s="682" t="s">
        <v>696</v>
      </c>
      <c r="B31" s="665" t="s">
        <v>258</v>
      </c>
      <c r="C31" s="654" t="s">
        <v>358</v>
      </c>
      <c r="D31" s="666"/>
      <c r="E31" s="569"/>
      <c r="F31" s="709" t="e">
        <f t="shared" si="0"/>
        <v>#DIV/0!</v>
      </c>
      <c r="G31" s="714" t="e">
        <f t="shared" si="1"/>
        <v>#REF!</v>
      </c>
      <c r="H31" s="697" t="e">
        <f>SUM(#REF!)</f>
        <v>#REF!</v>
      </c>
      <c r="I31" s="719">
        <v>110</v>
      </c>
      <c r="J31" s="720">
        <f t="shared" si="2"/>
        <v>0</v>
      </c>
    </row>
    <row r="32" spans="1:10" ht="28.5" hidden="1" x14ac:dyDescent="0.2">
      <c r="A32" s="677" t="s">
        <v>184</v>
      </c>
      <c r="B32" s="688" t="s">
        <v>724</v>
      </c>
      <c r="C32" s="657" t="s">
        <v>329</v>
      </c>
      <c r="D32" s="721"/>
      <c r="E32" s="722"/>
      <c r="F32" s="709" t="e">
        <f t="shared" si="0"/>
        <v>#DIV/0!</v>
      </c>
      <c r="G32" s="714" t="e">
        <f t="shared" si="1"/>
        <v>#REF!</v>
      </c>
      <c r="H32" s="728" t="e">
        <f>SUM(#REF!)</f>
        <v>#REF!</v>
      </c>
      <c r="I32" s="719">
        <v>110</v>
      </c>
      <c r="J32" s="720">
        <f t="shared" si="2"/>
        <v>0</v>
      </c>
    </row>
    <row r="33" spans="1:10" ht="48" x14ac:dyDescent="0.2">
      <c r="A33" s="676" t="s">
        <v>185</v>
      </c>
      <c r="B33" s="662" t="s">
        <v>725</v>
      </c>
      <c r="C33" s="650" t="s">
        <v>330</v>
      </c>
      <c r="D33" s="669">
        <v>1048.8</v>
      </c>
      <c r="E33" s="570">
        <v>1213.462</v>
      </c>
      <c r="F33" s="709">
        <f t="shared" si="0"/>
        <v>115.70003813882533</v>
      </c>
      <c r="G33" s="714">
        <f t="shared" si="1"/>
        <v>22.827249637813132</v>
      </c>
      <c r="H33" s="701">
        <f>кв!D64</f>
        <v>277</v>
      </c>
      <c r="I33" s="719">
        <v>110</v>
      </c>
      <c r="J33" s="720">
        <f t="shared" si="2"/>
        <v>1334.8082000000002</v>
      </c>
    </row>
    <row r="34" spans="1:10" ht="24" hidden="1" x14ac:dyDescent="0.2">
      <c r="A34" s="678" t="s">
        <v>184</v>
      </c>
      <c r="B34" s="663" t="s">
        <v>242</v>
      </c>
      <c r="C34" s="651" t="s">
        <v>243</v>
      </c>
      <c r="D34" s="724"/>
      <c r="E34" s="725"/>
      <c r="F34" s="709" t="e">
        <f t="shared" si="0"/>
        <v>#DIV/0!</v>
      </c>
      <c r="G34" s="710" t="e">
        <f t="shared" si="1"/>
        <v>#REF!</v>
      </c>
      <c r="H34" s="701" t="e">
        <f>SUM(#REF!)</f>
        <v>#REF!</v>
      </c>
      <c r="I34" s="719">
        <v>110</v>
      </c>
      <c r="J34" s="720">
        <f t="shared" si="2"/>
        <v>0</v>
      </c>
    </row>
    <row r="35" spans="1:10" ht="51" hidden="1" x14ac:dyDescent="0.2">
      <c r="A35" s="679" t="s">
        <v>184</v>
      </c>
      <c r="B35" s="661" t="s">
        <v>244</v>
      </c>
      <c r="C35" s="604" t="s">
        <v>359</v>
      </c>
      <c r="D35" s="669"/>
      <c r="E35" s="570"/>
      <c r="F35" s="709" t="e">
        <f t="shared" si="0"/>
        <v>#DIV/0!</v>
      </c>
      <c r="G35" s="710" t="e">
        <f t="shared" si="1"/>
        <v>#REF!</v>
      </c>
      <c r="H35" s="701" t="e">
        <f>SUM(#REF!)</f>
        <v>#REF!</v>
      </c>
      <c r="I35" s="719">
        <v>110</v>
      </c>
      <c r="J35" s="720">
        <f t="shared" si="2"/>
        <v>0</v>
      </c>
    </row>
    <row r="36" spans="1:10" ht="36" hidden="1" x14ac:dyDescent="0.2">
      <c r="A36" s="678" t="s">
        <v>184</v>
      </c>
      <c r="B36" s="663" t="s">
        <v>245</v>
      </c>
      <c r="C36" s="651" t="s">
        <v>246</v>
      </c>
      <c r="D36" s="724"/>
      <c r="E36" s="725"/>
      <c r="F36" s="709" t="e">
        <f t="shared" si="0"/>
        <v>#DIV/0!</v>
      </c>
      <c r="G36" s="710" t="e">
        <f t="shared" si="1"/>
        <v>#REF!</v>
      </c>
      <c r="H36" s="701" t="e">
        <f>SUM(#REF!)</f>
        <v>#REF!</v>
      </c>
      <c r="I36" s="719">
        <v>110</v>
      </c>
      <c r="J36" s="720">
        <f t="shared" si="2"/>
        <v>0</v>
      </c>
    </row>
    <row r="37" spans="1:10" ht="63.75" hidden="1" x14ac:dyDescent="0.2">
      <c r="A37" s="675" t="s">
        <v>184</v>
      </c>
      <c r="B37" s="661" t="s">
        <v>360</v>
      </c>
      <c r="C37" s="604" t="s">
        <v>401</v>
      </c>
      <c r="D37" s="669"/>
      <c r="E37" s="570"/>
      <c r="F37" s="709" t="e">
        <f t="shared" si="0"/>
        <v>#DIV/0!</v>
      </c>
      <c r="G37" s="710" t="e">
        <f t="shared" si="1"/>
        <v>#REF!</v>
      </c>
      <c r="H37" s="701" t="e">
        <f>SUM(#REF!)</f>
        <v>#REF!</v>
      </c>
      <c r="I37" s="719">
        <v>110</v>
      </c>
      <c r="J37" s="720">
        <f t="shared" si="2"/>
        <v>0</v>
      </c>
    </row>
    <row r="38" spans="1:10" ht="24" hidden="1" x14ac:dyDescent="0.2">
      <c r="A38" s="678" t="s">
        <v>184</v>
      </c>
      <c r="B38" s="663" t="s">
        <v>362</v>
      </c>
      <c r="C38" s="651" t="s">
        <v>363</v>
      </c>
      <c r="D38" s="724"/>
      <c r="E38" s="725"/>
      <c r="F38" s="709" t="e">
        <f t="shared" si="0"/>
        <v>#DIV/0!</v>
      </c>
      <c r="G38" s="710" t="e">
        <f t="shared" si="1"/>
        <v>#REF!</v>
      </c>
      <c r="H38" s="701" t="e">
        <f>SUM(#REF!)</f>
        <v>#REF!</v>
      </c>
      <c r="I38" s="719">
        <v>110</v>
      </c>
      <c r="J38" s="720">
        <f t="shared" si="2"/>
        <v>0</v>
      </c>
    </row>
    <row r="39" spans="1:10" ht="63.75" hidden="1" x14ac:dyDescent="0.2">
      <c r="A39" s="675" t="s">
        <v>184</v>
      </c>
      <c r="B39" s="661" t="s">
        <v>364</v>
      </c>
      <c r="C39" s="604" t="s">
        <v>365</v>
      </c>
      <c r="D39" s="669"/>
      <c r="E39" s="570"/>
      <c r="F39" s="709" t="e">
        <f t="shared" si="0"/>
        <v>#DIV/0!</v>
      </c>
      <c r="G39" s="710" t="e">
        <f t="shared" si="1"/>
        <v>#REF!</v>
      </c>
      <c r="H39" s="701" t="e">
        <f>SUM(#REF!)</f>
        <v>#REF!</v>
      </c>
      <c r="I39" s="719">
        <v>110</v>
      </c>
      <c r="J39" s="720">
        <f t="shared" si="2"/>
        <v>0</v>
      </c>
    </row>
    <row r="40" spans="1:10" ht="24" hidden="1" x14ac:dyDescent="0.2">
      <c r="A40" s="678" t="s">
        <v>184</v>
      </c>
      <c r="B40" s="663" t="s">
        <v>247</v>
      </c>
      <c r="C40" s="651" t="s">
        <v>332</v>
      </c>
      <c r="D40" s="724"/>
      <c r="E40" s="725"/>
      <c r="F40" s="709" t="e">
        <f t="shared" si="0"/>
        <v>#DIV/0!</v>
      </c>
      <c r="G40" s="710" t="e">
        <f t="shared" si="1"/>
        <v>#REF!</v>
      </c>
      <c r="H40" s="701" t="e">
        <f>SUM(#REF!)</f>
        <v>#REF!</v>
      </c>
      <c r="I40" s="719">
        <v>110</v>
      </c>
      <c r="J40" s="720">
        <f t="shared" si="2"/>
        <v>0</v>
      </c>
    </row>
    <row r="41" spans="1:10" ht="51" hidden="1" x14ac:dyDescent="0.2">
      <c r="A41" s="679" t="s">
        <v>184</v>
      </c>
      <c r="B41" s="661" t="s">
        <v>397</v>
      </c>
      <c r="C41" s="604" t="s">
        <v>398</v>
      </c>
      <c r="D41" s="669"/>
      <c r="E41" s="570"/>
      <c r="F41" s="709" t="e">
        <f t="shared" si="0"/>
        <v>#DIV/0!</v>
      </c>
      <c r="G41" s="710" t="e">
        <f t="shared" si="1"/>
        <v>#REF!</v>
      </c>
      <c r="H41" s="701" t="e">
        <f>SUM(H42:H44)</f>
        <v>#REF!</v>
      </c>
      <c r="I41" s="719">
        <v>110</v>
      </c>
      <c r="J41" s="720">
        <f t="shared" si="2"/>
        <v>0</v>
      </c>
    </row>
    <row r="42" spans="1:10" ht="48" x14ac:dyDescent="0.2">
      <c r="A42" s="685" t="s">
        <v>1010</v>
      </c>
      <c r="B42" s="669" t="s">
        <v>366</v>
      </c>
      <c r="C42" s="658" t="s">
        <v>367</v>
      </c>
      <c r="D42" s="669">
        <v>32.4</v>
      </c>
      <c r="E42" s="570">
        <v>40</v>
      </c>
      <c r="F42" s="713">
        <f t="shared" si="0"/>
        <v>123.45679012345678</v>
      </c>
      <c r="G42" s="710" t="e">
        <f t="shared" si="1"/>
        <v>#REF!</v>
      </c>
      <c r="H42" s="701" t="e">
        <f>кв!#REF!</f>
        <v>#REF!</v>
      </c>
      <c r="I42" s="719">
        <v>110</v>
      </c>
      <c r="J42" s="720">
        <f t="shared" si="2"/>
        <v>44</v>
      </c>
    </row>
    <row r="43" spans="1:10" ht="48" x14ac:dyDescent="0.2">
      <c r="A43" s="685" t="s">
        <v>20</v>
      </c>
      <c r="B43" s="669" t="s">
        <v>366</v>
      </c>
      <c r="C43" s="658" t="s">
        <v>367</v>
      </c>
      <c r="D43" s="669">
        <v>2057.1</v>
      </c>
      <c r="E43" s="570">
        <v>2674.23</v>
      </c>
      <c r="F43" s="709">
        <f t="shared" si="0"/>
        <v>130</v>
      </c>
      <c r="G43" s="714">
        <f t="shared" si="1"/>
        <v>41.13333557696982</v>
      </c>
      <c r="H43" s="701">
        <f>кв!D73</f>
        <v>1100</v>
      </c>
      <c r="I43" s="719">
        <v>110</v>
      </c>
      <c r="J43" s="720">
        <f>E43*I43%</f>
        <v>2941.6530000000002</v>
      </c>
    </row>
    <row r="44" spans="1:10" ht="36.75" thickBot="1" x14ac:dyDescent="0.25">
      <c r="A44" s="686" t="s">
        <v>1010</v>
      </c>
      <c r="B44" s="690" t="s">
        <v>368</v>
      </c>
      <c r="C44" s="659" t="s">
        <v>800</v>
      </c>
      <c r="D44" s="670">
        <v>13.2</v>
      </c>
      <c r="E44" s="671">
        <v>3</v>
      </c>
      <c r="F44" s="715">
        <f t="shared" si="0"/>
        <v>22.727272727272727</v>
      </c>
      <c r="G44" s="716">
        <f t="shared" si="1"/>
        <v>1226.6666666666665</v>
      </c>
      <c r="H44" s="702">
        <f>кв!D78</f>
        <v>36.799999999999997</v>
      </c>
      <c r="I44" s="719">
        <v>110</v>
      </c>
      <c r="J44" s="720">
        <f t="shared" si="2"/>
        <v>3.3000000000000003</v>
      </c>
    </row>
    <row r="45" spans="1:10" ht="16.5" thickBot="1" x14ac:dyDescent="0.25">
      <c r="A45" s="687"/>
      <c r="B45" s="645"/>
      <c r="C45" s="691" t="s">
        <v>467</v>
      </c>
      <c r="D45" s="692">
        <f>D44+D43+D42+D33+D24+D12+D9+D6+D5+D4</f>
        <v>52589.012000000002</v>
      </c>
      <c r="E45" s="699">
        <f>E44+E43+E42+E33+E24+E12+E9+E6+E5+E4</f>
        <v>57219.8</v>
      </c>
      <c r="F45" s="693"/>
      <c r="G45" s="695"/>
      <c r="H45" s="698" t="e">
        <f>H4+H5+H6+H9+H12+H24+H33+H42+H43+H44</f>
        <v>#REF!</v>
      </c>
      <c r="I45" s="694"/>
      <c r="J45" s="696">
        <f>J4+J5+J6+J9+J12+J24+J33+J42+J43+J44</f>
        <v>62941.78</v>
      </c>
    </row>
  </sheetData>
  <mergeCells count="8">
    <mergeCell ref="A1:H1"/>
    <mergeCell ref="G2:H2"/>
    <mergeCell ref="I2:J2"/>
    <mergeCell ref="D2:D3"/>
    <mergeCell ref="E2:E3"/>
    <mergeCell ref="F2:F3"/>
    <mergeCell ref="B2:B3"/>
    <mergeCell ref="C2:C3"/>
  </mergeCells>
  <phoneticPr fontId="11" type="noConversion"/>
  <pageMargins left="0.75" right="0.32" top="0.43" bottom="0.5" header="0.4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14"/>
  <sheetViews>
    <sheetView topLeftCell="A165" workbookViewId="0">
      <selection activeCell="H10" sqref="H10"/>
    </sheetView>
  </sheetViews>
  <sheetFormatPr defaultRowHeight="12.75" x14ac:dyDescent="0.2"/>
  <cols>
    <col min="1" max="1" width="24.28515625" customWidth="1"/>
    <col min="2" max="2" width="55.7109375" customWidth="1"/>
    <col min="3" max="3" width="11" customWidth="1"/>
    <col min="4" max="4" width="8" hidden="1" customWidth="1"/>
    <col min="5" max="5" width="7.28515625" hidden="1" customWidth="1"/>
    <col min="6" max="6" width="8.140625" hidden="1" customWidth="1"/>
    <col min="7" max="7" width="7.7109375" hidden="1" customWidth="1"/>
  </cols>
  <sheetData>
    <row r="1" spans="1:7" ht="12.75" customHeight="1" x14ac:dyDescent="0.25">
      <c r="A1" s="1544"/>
      <c r="B1" s="3035" t="s">
        <v>1532</v>
      </c>
      <c r="C1" s="3035"/>
      <c r="D1" s="147"/>
      <c r="E1" s="147"/>
      <c r="F1" s="147"/>
      <c r="G1" s="54"/>
    </row>
    <row r="2" spans="1:7" ht="12.75" customHeight="1" x14ac:dyDescent="0.25">
      <c r="A2" s="1544"/>
      <c r="B2" s="3035" t="s">
        <v>1580</v>
      </c>
      <c r="C2" s="3035"/>
      <c r="D2" s="146"/>
      <c r="E2" s="146"/>
      <c r="F2" s="146"/>
      <c r="G2" s="53"/>
    </row>
    <row r="3" spans="1:7" ht="15.75" x14ac:dyDescent="0.25">
      <c r="A3" s="1544"/>
      <c r="B3" s="3035" t="s">
        <v>1535</v>
      </c>
      <c r="C3" s="3035"/>
      <c r="D3" s="145"/>
      <c r="E3" s="145"/>
      <c r="F3" s="145"/>
      <c r="G3" s="145"/>
    </row>
    <row r="4" spans="1:7" ht="15.75" x14ac:dyDescent="0.25">
      <c r="A4" s="1544"/>
      <c r="B4" s="3035" t="s">
        <v>1533</v>
      </c>
      <c r="C4" s="3035"/>
      <c r="D4" s="145"/>
      <c r="E4" s="145"/>
      <c r="F4" s="145"/>
      <c r="G4" s="145"/>
    </row>
    <row r="5" spans="1:7" ht="15.75" x14ac:dyDescent="0.25">
      <c r="A5" s="1544"/>
      <c r="B5" s="3035" t="s">
        <v>1580</v>
      </c>
      <c r="C5" s="3035"/>
      <c r="D5" s="145"/>
      <c r="E5" s="145"/>
      <c r="F5" s="145"/>
      <c r="G5" s="145"/>
    </row>
    <row r="6" spans="1:7" ht="15.75" x14ac:dyDescent="0.25">
      <c r="A6" s="1544"/>
      <c r="B6" s="3038" t="s">
        <v>1603</v>
      </c>
      <c r="C6" s="3038"/>
      <c r="D6" s="145"/>
      <c r="E6" s="145"/>
      <c r="F6" s="145"/>
      <c r="G6" s="145"/>
    </row>
    <row r="7" spans="1:7" ht="15.75" x14ac:dyDescent="0.25">
      <c r="A7" s="1544"/>
      <c r="B7" s="3035" t="s">
        <v>1533</v>
      </c>
      <c r="C7" s="3035"/>
      <c r="D7" s="145"/>
      <c r="E7" s="145"/>
      <c r="F7" s="145"/>
      <c r="G7" s="145"/>
    </row>
    <row r="8" spans="1:7" ht="15.75" x14ac:dyDescent="0.25">
      <c r="A8" s="1544"/>
      <c r="B8" s="3035" t="s">
        <v>1580</v>
      </c>
      <c r="C8" s="3035"/>
      <c r="D8" s="145"/>
      <c r="E8" s="145"/>
      <c r="F8" s="145"/>
      <c r="G8" s="145"/>
    </row>
    <row r="9" spans="1:7" ht="15.75" x14ac:dyDescent="0.25">
      <c r="A9" s="1544"/>
      <c r="B9" s="3038" t="s">
        <v>1611</v>
      </c>
      <c r="C9" s="3038"/>
      <c r="D9" s="145"/>
      <c r="E9" s="145"/>
      <c r="F9" s="145"/>
      <c r="G9" s="145"/>
    </row>
    <row r="10" spans="1:7" ht="15.75" x14ac:dyDescent="0.25">
      <c r="A10" s="1544"/>
      <c r="B10" s="3035" t="s">
        <v>1533</v>
      </c>
      <c r="C10" s="3035"/>
      <c r="D10" s="145"/>
      <c r="E10" s="145"/>
      <c r="F10" s="145"/>
      <c r="G10" s="145"/>
    </row>
    <row r="11" spans="1:7" ht="15.75" x14ac:dyDescent="0.25">
      <c r="A11" s="1544"/>
      <c r="B11" s="3035" t="s">
        <v>1580</v>
      </c>
      <c r="C11" s="3035"/>
      <c r="D11" s="145"/>
      <c r="E11" s="145"/>
      <c r="F11" s="145"/>
      <c r="G11" s="145"/>
    </row>
    <row r="12" spans="1:7" ht="15.75" x14ac:dyDescent="0.25">
      <c r="A12" s="1544"/>
      <c r="B12" s="3038" t="s">
        <v>1620</v>
      </c>
      <c r="C12" s="3038"/>
      <c r="D12" s="145"/>
      <c r="E12" s="145"/>
      <c r="F12" s="145"/>
      <c r="G12" s="145"/>
    </row>
    <row r="13" spans="1:7" ht="15.75" x14ac:dyDescent="0.25">
      <c r="A13" s="3037" t="s">
        <v>926</v>
      </c>
      <c r="B13" s="3037"/>
      <c r="C13" s="3037"/>
    </row>
    <row r="14" spans="1:7" ht="15.75" x14ac:dyDescent="0.25">
      <c r="A14" s="3037" t="s">
        <v>927</v>
      </c>
      <c r="B14" s="3037"/>
      <c r="C14" s="3037"/>
    </row>
    <row r="15" spans="1:7" ht="15.75" x14ac:dyDescent="0.25">
      <c r="A15" s="3037" t="s">
        <v>1508</v>
      </c>
      <c r="B15" s="3037"/>
      <c r="C15" s="3037"/>
    </row>
    <row r="16" spans="1:7" ht="13.5" thickBot="1" x14ac:dyDescent="0.25">
      <c r="A16" s="3036"/>
      <c r="B16" s="3036"/>
      <c r="C16" s="3036"/>
    </row>
    <row r="17" spans="1:7" ht="32.25" thickBot="1" x14ac:dyDescent="0.25">
      <c r="A17" s="2916" t="s">
        <v>321</v>
      </c>
      <c r="B17" s="2922" t="s">
        <v>928</v>
      </c>
      <c r="C17" s="2930" t="s">
        <v>929</v>
      </c>
      <c r="D17" s="448" t="s">
        <v>930</v>
      </c>
      <c r="E17" s="441" t="s">
        <v>931</v>
      </c>
      <c r="F17" s="441" t="s">
        <v>913</v>
      </c>
      <c r="G17" s="441" t="s">
        <v>914</v>
      </c>
    </row>
    <row r="18" spans="1:7" ht="36.75" hidden="1" thickBot="1" x14ac:dyDescent="0.25">
      <c r="A18" s="2917" t="s">
        <v>915</v>
      </c>
      <c r="B18" s="2923" t="s">
        <v>916</v>
      </c>
      <c r="C18" s="2931"/>
      <c r="D18" s="449"/>
      <c r="E18" s="439"/>
      <c r="F18" s="439"/>
      <c r="G18" s="440"/>
    </row>
    <row r="19" spans="1:7" ht="48.75" hidden="1" thickBot="1" x14ac:dyDescent="0.25">
      <c r="A19" s="2915" t="s">
        <v>917</v>
      </c>
      <c r="B19" s="2923" t="s">
        <v>869</v>
      </c>
      <c r="C19" s="2931"/>
      <c r="D19" s="450"/>
      <c r="E19" s="426"/>
      <c r="F19" s="426"/>
      <c r="G19" s="431"/>
    </row>
    <row r="20" spans="1:7" ht="24.75" hidden="1" thickBot="1" x14ac:dyDescent="0.25">
      <c r="A20" s="2915" t="s">
        <v>870</v>
      </c>
      <c r="B20" s="2924" t="s">
        <v>871</v>
      </c>
      <c r="C20" s="2931"/>
      <c r="D20" s="450"/>
      <c r="E20" s="426"/>
      <c r="F20" s="426"/>
      <c r="G20" s="431"/>
    </row>
    <row r="21" spans="1:7" ht="24.75" hidden="1" thickBot="1" x14ac:dyDescent="0.25">
      <c r="A21" s="2915" t="s">
        <v>872</v>
      </c>
      <c r="B21" s="2924" t="s">
        <v>873</v>
      </c>
      <c r="C21" s="2931"/>
      <c r="D21" s="450"/>
      <c r="E21" s="426"/>
      <c r="F21" s="426"/>
      <c r="G21" s="431"/>
    </row>
    <row r="22" spans="1:7" ht="16.5" hidden="1" thickBot="1" x14ac:dyDescent="0.25">
      <c r="A22" s="2915" t="s">
        <v>874</v>
      </c>
      <c r="B22" s="2924" t="s">
        <v>875</v>
      </c>
      <c r="C22" s="2931"/>
      <c r="D22" s="450"/>
      <c r="E22" s="426"/>
      <c r="F22" s="426"/>
      <c r="G22" s="431"/>
    </row>
    <row r="23" spans="1:7" ht="48.75" hidden="1" thickBot="1" x14ac:dyDescent="0.25">
      <c r="A23" s="2915" t="s">
        <v>876</v>
      </c>
      <c r="B23" s="2923" t="s">
        <v>877</v>
      </c>
      <c r="C23" s="2931"/>
      <c r="D23" s="450"/>
      <c r="E23" s="426"/>
      <c r="F23" s="426"/>
      <c r="G23" s="431"/>
    </row>
    <row r="24" spans="1:7" ht="24.75" hidden="1" thickBot="1" x14ac:dyDescent="0.25">
      <c r="A24" s="2915" t="s">
        <v>878</v>
      </c>
      <c r="B24" s="2924" t="s">
        <v>879</v>
      </c>
      <c r="C24" s="2931"/>
      <c r="D24" s="450"/>
      <c r="E24" s="426"/>
      <c r="F24" s="426"/>
      <c r="G24" s="431"/>
    </row>
    <row r="25" spans="1:7" ht="24.75" hidden="1" thickBot="1" x14ac:dyDescent="0.25">
      <c r="A25" s="2915" t="s">
        <v>880</v>
      </c>
      <c r="B25" s="2924" t="s">
        <v>873</v>
      </c>
      <c r="C25" s="2931"/>
      <c r="D25" s="450"/>
      <c r="E25" s="426"/>
      <c r="F25" s="426"/>
      <c r="G25" s="431"/>
    </row>
    <row r="26" spans="1:7" ht="16.5" hidden="1" thickBot="1" x14ac:dyDescent="0.25">
      <c r="A26" s="2915" t="s">
        <v>881</v>
      </c>
      <c r="B26" s="2924" t="s">
        <v>875</v>
      </c>
      <c r="C26" s="2931"/>
      <c r="D26" s="450"/>
      <c r="E26" s="426"/>
      <c r="F26" s="426"/>
      <c r="G26" s="431"/>
    </row>
    <row r="27" spans="1:7" ht="48.75" hidden="1" thickBot="1" x14ac:dyDescent="0.25">
      <c r="A27" s="2917" t="s">
        <v>882</v>
      </c>
      <c r="B27" s="2923" t="s">
        <v>883</v>
      </c>
      <c r="C27" s="2931"/>
      <c r="D27" s="450"/>
      <c r="E27" s="426"/>
      <c r="F27" s="426"/>
      <c r="G27" s="431"/>
    </row>
    <row r="28" spans="1:7" ht="60.75" hidden="1" thickBot="1" x14ac:dyDescent="0.25">
      <c r="A28" s="2915" t="s">
        <v>884</v>
      </c>
      <c r="B28" s="2923" t="s">
        <v>536</v>
      </c>
      <c r="C28" s="2931">
        <v>1297</v>
      </c>
      <c r="D28" s="450"/>
      <c r="E28" s="426"/>
      <c r="F28" s="426"/>
      <c r="G28" s="431"/>
    </row>
    <row r="29" spans="1:7" ht="24.75" hidden="1" thickBot="1" x14ac:dyDescent="0.25">
      <c r="A29" s="2915" t="s">
        <v>537</v>
      </c>
      <c r="B29" s="2924" t="s">
        <v>538</v>
      </c>
      <c r="C29" s="2932">
        <v>1297</v>
      </c>
      <c r="D29" s="451"/>
      <c r="E29" s="427"/>
      <c r="F29" s="427"/>
      <c r="G29" s="432"/>
    </row>
    <row r="30" spans="1:7" ht="24.75" hidden="1" thickBot="1" x14ac:dyDescent="0.25">
      <c r="A30" s="2915" t="s">
        <v>539</v>
      </c>
      <c r="B30" s="2924" t="s">
        <v>540</v>
      </c>
      <c r="C30" s="2933">
        <v>8327</v>
      </c>
      <c r="D30" s="452"/>
      <c r="E30" s="428"/>
      <c r="F30" s="428"/>
      <c r="G30" s="433"/>
    </row>
    <row r="31" spans="1:7" ht="36.75" hidden="1" thickBot="1" x14ac:dyDescent="0.25">
      <c r="A31" s="2915" t="s">
        <v>541</v>
      </c>
      <c r="B31" s="2924" t="s">
        <v>542</v>
      </c>
      <c r="C31" s="2932">
        <v>8327</v>
      </c>
      <c r="D31" s="451"/>
      <c r="E31" s="427"/>
      <c r="F31" s="427"/>
      <c r="G31" s="432"/>
    </row>
    <row r="32" spans="1:7" ht="24.75" hidden="1" thickBot="1" x14ac:dyDescent="0.25">
      <c r="A32" s="2915" t="s">
        <v>548</v>
      </c>
      <c r="B32" s="2924" t="s">
        <v>549</v>
      </c>
      <c r="C32" s="2933">
        <v>7030</v>
      </c>
      <c r="D32" s="452"/>
      <c r="E32" s="428"/>
      <c r="F32" s="428"/>
      <c r="G32" s="433"/>
    </row>
    <row r="33" spans="1:7" ht="36.75" hidden="1" thickBot="1" x14ac:dyDescent="0.25">
      <c r="A33" s="2915" t="s">
        <v>550</v>
      </c>
      <c r="B33" s="2924" t="s">
        <v>850</v>
      </c>
      <c r="C33" s="2932">
        <v>7030</v>
      </c>
      <c r="D33" s="451"/>
      <c r="E33" s="427"/>
      <c r="F33" s="427"/>
      <c r="G33" s="432"/>
    </row>
    <row r="34" spans="1:7" ht="36.75" hidden="1" thickBot="1" x14ac:dyDescent="0.25">
      <c r="A34" s="2915" t="s">
        <v>851</v>
      </c>
      <c r="B34" s="2924" t="s">
        <v>566</v>
      </c>
      <c r="C34" s="2934">
        <v>1297</v>
      </c>
      <c r="D34" s="453"/>
      <c r="E34" s="429"/>
      <c r="F34" s="429"/>
      <c r="G34" s="434"/>
    </row>
    <row r="35" spans="1:7" ht="36.75" hidden="1" thickBot="1" x14ac:dyDescent="0.25">
      <c r="A35" s="2915" t="s">
        <v>567</v>
      </c>
      <c r="B35" s="2924" t="s">
        <v>568</v>
      </c>
      <c r="C35" s="2935"/>
      <c r="D35" s="454"/>
      <c r="E35" s="149"/>
      <c r="F35" s="149"/>
      <c r="G35" s="435"/>
    </row>
    <row r="36" spans="1:7" ht="36.75" hidden="1" thickBot="1" x14ac:dyDescent="0.25">
      <c r="A36" s="2915" t="s">
        <v>569</v>
      </c>
      <c r="B36" s="2924" t="s">
        <v>570</v>
      </c>
      <c r="C36" s="2935"/>
      <c r="D36" s="454"/>
      <c r="E36" s="149"/>
      <c r="F36" s="149"/>
      <c r="G36" s="435"/>
    </row>
    <row r="37" spans="1:7" ht="24.75" hidden="1" thickBot="1" x14ac:dyDescent="0.25">
      <c r="A37" s="2915" t="s">
        <v>571</v>
      </c>
      <c r="B37" s="2924" t="s">
        <v>572</v>
      </c>
      <c r="C37" s="2935"/>
      <c r="D37" s="454"/>
      <c r="E37" s="149"/>
      <c r="F37" s="149"/>
      <c r="G37" s="435"/>
    </row>
    <row r="38" spans="1:7" ht="24.75" hidden="1" thickBot="1" x14ac:dyDescent="0.25">
      <c r="A38" s="2915" t="s">
        <v>573</v>
      </c>
      <c r="B38" s="2924" t="s">
        <v>574</v>
      </c>
      <c r="C38" s="2935"/>
      <c r="D38" s="454"/>
      <c r="E38" s="149"/>
      <c r="F38" s="149"/>
      <c r="G38" s="435"/>
    </row>
    <row r="39" spans="1:7" ht="24.75" hidden="1" thickBot="1" x14ac:dyDescent="0.25">
      <c r="A39" s="2915" t="s">
        <v>575</v>
      </c>
      <c r="B39" s="2924" t="s">
        <v>576</v>
      </c>
      <c r="C39" s="2935"/>
      <c r="D39" s="454"/>
      <c r="E39" s="149"/>
      <c r="F39" s="149"/>
      <c r="G39" s="435"/>
    </row>
    <row r="40" spans="1:7" ht="24.75" hidden="1" thickBot="1" x14ac:dyDescent="0.25">
      <c r="A40" s="2915" t="s">
        <v>577</v>
      </c>
      <c r="B40" s="2924" t="s">
        <v>579</v>
      </c>
      <c r="C40" s="2935"/>
      <c r="D40" s="454"/>
      <c r="E40" s="149"/>
      <c r="F40" s="149"/>
      <c r="G40" s="435"/>
    </row>
    <row r="41" spans="1:7" ht="24.75" hidden="1" thickBot="1" x14ac:dyDescent="0.25">
      <c r="A41" s="2915" t="s">
        <v>580</v>
      </c>
      <c r="B41" s="2924" t="s">
        <v>581</v>
      </c>
      <c r="C41" s="2935"/>
      <c r="D41" s="454"/>
      <c r="E41" s="149"/>
      <c r="F41" s="149"/>
      <c r="G41" s="435"/>
    </row>
    <row r="42" spans="1:7" ht="36.75" hidden="1" thickBot="1" x14ac:dyDescent="0.25">
      <c r="A42" s="2915" t="s">
        <v>582</v>
      </c>
      <c r="B42" s="2924" t="s">
        <v>867</v>
      </c>
      <c r="C42" s="2935"/>
      <c r="D42" s="454"/>
      <c r="E42" s="149"/>
      <c r="F42" s="149"/>
      <c r="G42" s="435"/>
    </row>
    <row r="43" spans="1:7" ht="36.75" hidden="1" thickBot="1" x14ac:dyDescent="0.25">
      <c r="A43" s="2915" t="s">
        <v>868</v>
      </c>
      <c r="B43" s="2924" t="s">
        <v>996</v>
      </c>
      <c r="C43" s="2935"/>
      <c r="D43" s="454"/>
      <c r="E43" s="149"/>
      <c r="F43" s="149"/>
      <c r="G43" s="435"/>
    </row>
    <row r="44" spans="1:7" ht="36.75" hidden="1" thickBot="1" x14ac:dyDescent="0.25">
      <c r="A44" s="2915" t="s">
        <v>997</v>
      </c>
      <c r="B44" s="2924" t="s">
        <v>998</v>
      </c>
      <c r="C44" s="2935"/>
      <c r="D44" s="454"/>
      <c r="E44" s="149"/>
      <c r="F44" s="149"/>
      <c r="G44" s="435"/>
    </row>
    <row r="45" spans="1:7" ht="60.75" hidden="1" thickBot="1" x14ac:dyDescent="0.25">
      <c r="A45" s="2915" t="s">
        <v>999</v>
      </c>
      <c r="B45" s="2923" t="s">
        <v>1000</v>
      </c>
      <c r="C45" s="2935"/>
      <c r="D45" s="454"/>
      <c r="E45" s="149"/>
      <c r="F45" s="149"/>
      <c r="G45" s="435"/>
    </row>
    <row r="46" spans="1:7" ht="24.75" hidden="1" thickBot="1" x14ac:dyDescent="0.25">
      <c r="A46" s="2915" t="s">
        <v>1001</v>
      </c>
      <c r="B46" s="2924" t="s">
        <v>538</v>
      </c>
      <c r="C46" s="2935"/>
      <c r="D46" s="454"/>
      <c r="E46" s="149"/>
      <c r="F46" s="149"/>
      <c r="G46" s="435"/>
    </row>
    <row r="47" spans="1:7" ht="24.75" hidden="1" thickBot="1" x14ac:dyDescent="0.25">
      <c r="A47" s="2915" t="s">
        <v>1002</v>
      </c>
      <c r="B47" s="2924" t="s">
        <v>540</v>
      </c>
      <c r="C47" s="2935"/>
      <c r="D47" s="454"/>
      <c r="E47" s="149"/>
      <c r="F47" s="149"/>
      <c r="G47" s="435"/>
    </row>
    <row r="48" spans="1:7" ht="36.75" hidden="1" thickBot="1" x14ac:dyDescent="0.25">
      <c r="A48" s="2915" t="s">
        <v>1003</v>
      </c>
      <c r="B48" s="2924" t="s">
        <v>542</v>
      </c>
      <c r="C48" s="2935"/>
      <c r="D48" s="454"/>
      <c r="E48" s="149"/>
      <c r="F48" s="149"/>
      <c r="G48" s="435"/>
    </row>
    <row r="49" spans="1:7" ht="24.75" hidden="1" thickBot="1" x14ac:dyDescent="0.25">
      <c r="A49" s="2915" t="s">
        <v>1004</v>
      </c>
      <c r="B49" s="2924" t="s">
        <v>549</v>
      </c>
      <c r="C49" s="2935"/>
      <c r="D49" s="454"/>
      <c r="E49" s="149"/>
      <c r="F49" s="149"/>
      <c r="G49" s="435"/>
    </row>
    <row r="50" spans="1:7" ht="36.75" hidden="1" thickBot="1" x14ac:dyDescent="0.25">
      <c r="A50" s="2915" t="s">
        <v>1005</v>
      </c>
      <c r="B50" s="2924" t="s">
        <v>850</v>
      </c>
      <c r="C50" s="2935"/>
      <c r="D50" s="454"/>
      <c r="E50" s="149"/>
      <c r="F50" s="149"/>
      <c r="G50" s="435"/>
    </row>
    <row r="51" spans="1:7" ht="36.75" hidden="1" thickBot="1" x14ac:dyDescent="0.25">
      <c r="A51" s="2915" t="s">
        <v>1006</v>
      </c>
      <c r="B51" s="2924" t="s">
        <v>566</v>
      </c>
      <c r="C51" s="2935"/>
      <c r="D51" s="454"/>
      <c r="E51" s="149"/>
      <c r="F51" s="149"/>
      <c r="G51" s="435"/>
    </row>
    <row r="52" spans="1:7" ht="36.75" hidden="1" thickBot="1" x14ac:dyDescent="0.25">
      <c r="A52" s="2915" t="s">
        <v>1007</v>
      </c>
      <c r="B52" s="2924" t="s">
        <v>568</v>
      </c>
      <c r="C52" s="2935"/>
      <c r="D52" s="454"/>
      <c r="E52" s="149"/>
      <c r="F52" s="149"/>
      <c r="G52" s="435"/>
    </row>
    <row r="53" spans="1:7" ht="36.75" hidden="1" thickBot="1" x14ac:dyDescent="0.25">
      <c r="A53" s="2915" t="s">
        <v>1008</v>
      </c>
      <c r="B53" s="2924" t="s">
        <v>570</v>
      </c>
      <c r="C53" s="2935"/>
      <c r="D53" s="454"/>
      <c r="E53" s="149"/>
      <c r="F53" s="149"/>
      <c r="G53" s="435"/>
    </row>
    <row r="54" spans="1:7" ht="24.75" hidden="1" thickBot="1" x14ac:dyDescent="0.25">
      <c r="A54" s="2915" t="s">
        <v>1009</v>
      </c>
      <c r="B54" s="2924" t="s">
        <v>572</v>
      </c>
      <c r="C54" s="2935"/>
      <c r="D54" s="454"/>
      <c r="E54" s="149"/>
      <c r="F54" s="149"/>
      <c r="G54" s="435"/>
    </row>
    <row r="55" spans="1:7" ht="24.75" hidden="1" thickBot="1" x14ac:dyDescent="0.25">
      <c r="A55" s="2915" t="s">
        <v>986</v>
      </c>
      <c r="B55" s="2924" t="s">
        <v>574</v>
      </c>
      <c r="C55" s="2935"/>
      <c r="D55" s="454"/>
      <c r="E55" s="149"/>
      <c r="F55" s="149"/>
      <c r="G55" s="435"/>
    </row>
    <row r="56" spans="1:7" ht="24.75" hidden="1" thickBot="1" x14ac:dyDescent="0.25">
      <c r="A56" s="2915" t="s">
        <v>987</v>
      </c>
      <c r="B56" s="2924" t="s">
        <v>576</v>
      </c>
      <c r="C56" s="2935"/>
      <c r="D56" s="454"/>
      <c r="E56" s="149"/>
      <c r="F56" s="149"/>
      <c r="G56" s="435"/>
    </row>
    <row r="57" spans="1:7" ht="24.75" hidden="1" thickBot="1" x14ac:dyDescent="0.25">
      <c r="A57" s="2915" t="s">
        <v>988</v>
      </c>
      <c r="B57" s="2924" t="s">
        <v>579</v>
      </c>
      <c r="C57" s="2935"/>
      <c r="D57" s="454"/>
      <c r="E57" s="149"/>
      <c r="F57" s="149"/>
      <c r="G57" s="435"/>
    </row>
    <row r="58" spans="1:7" ht="24.75" hidden="1" thickBot="1" x14ac:dyDescent="0.25">
      <c r="A58" s="2915" t="s">
        <v>989</v>
      </c>
      <c r="B58" s="2924" t="s">
        <v>581</v>
      </c>
      <c r="C58" s="2935"/>
      <c r="D58" s="454"/>
      <c r="E58" s="149"/>
      <c r="F58" s="149"/>
      <c r="G58" s="435"/>
    </row>
    <row r="59" spans="1:7" ht="36.75" hidden="1" thickBot="1" x14ac:dyDescent="0.25">
      <c r="A59" s="2915" t="s">
        <v>990</v>
      </c>
      <c r="B59" s="2924" t="s">
        <v>867</v>
      </c>
      <c r="C59" s="2935"/>
      <c r="D59" s="454"/>
      <c r="E59" s="149"/>
      <c r="F59" s="149"/>
      <c r="G59" s="435"/>
    </row>
    <row r="60" spans="1:7" ht="36.75" hidden="1" thickBot="1" x14ac:dyDescent="0.25">
      <c r="A60" s="2915" t="s">
        <v>991</v>
      </c>
      <c r="B60" s="2924" t="s">
        <v>958</v>
      </c>
      <c r="C60" s="2935"/>
      <c r="D60" s="454"/>
      <c r="E60" s="149"/>
      <c r="F60" s="149"/>
      <c r="G60" s="435"/>
    </row>
    <row r="61" spans="1:7" ht="36.75" hidden="1" thickBot="1" x14ac:dyDescent="0.25">
      <c r="A61" s="2915" t="s">
        <v>959</v>
      </c>
      <c r="B61" s="2924" t="s">
        <v>998</v>
      </c>
      <c r="C61" s="2935"/>
      <c r="D61" s="454"/>
      <c r="E61" s="149"/>
      <c r="F61" s="149"/>
      <c r="G61" s="435"/>
    </row>
    <row r="62" spans="1:7" ht="24.75" hidden="1" thickBot="1" x14ac:dyDescent="0.25">
      <c r="A62" s="2917" t="s">
        <v>960</v>
      </c>
      <c r="B62" s="2923" t="s">
        <v>961</v>
      </c>
      <c r="C62" s="2935"/>
      <c r="D62" s="454"/>
      <c r="E62" s="149"/>
      <c r="F62" s="149"/>
      <c r="G62" s="435"/>
    </row>
    <row r="63" spans="1:7" ht="24.75" hidden="1" thickBot="1" x14ac:dyDescent="0.25">
      <c r="A63" s="2915" t="s">
        <v>962</v>
      </c>
      <c r="B63" s="2923" t="s">
        <v>965</v>
      </c>
      <c r="C63" s="2935"/>
      <c r="D63" s="454"/>
      <c r="E63" s="149"/>
      <c r="F63" s="149"/>
      <c r="G63" s="435"/>
    </row>
    <row r="64" spans="1:7" ht="24.75" hidden="1" thickBot="1" x14ac:dyDescent="0.25">
      <c r="A64" s="2915" t="s">
        <v>966</v>
      </c>
      <c r="B64" s="2924" t="s">
        <v>967</v>
      </c>
      <c r="C64" s="2935"/>
      <c r="D64" s="454"/>
      <c r="E64" s="149"/>
      <c r="F64" s="149"/>
      <c r="G64" s="435"/>
    </row>
    <row r="65" spans="1:7" ht="24.75" hidden="1" thickBot="1" x14ac:dyDescent="0.25">
      <c r="A65" s="2915" t="s">
        <v>968</v>
      </c>
      <c r="B65" s="2924" t="s">
        <v>969</v>
      </c>
      <c r="C65" s="2935"/>
      <c r="D65" s="454"/>
      <c r="E65" s="149"/>
      <c r="F65" s="149"/>
      <c r="G65" s="435"/>
    </row>
    <row r="66" spans="1:7" ht="24.75" hidden="1" thickBot="1" x14ac:dyDescent="0.25">
      <c r="A66" s="2915" t="s">
        <v>970</v>
      </c>
      <c r="B66" s="2924" t="s">
        <v>638</v>
      </c>
      <c r="C66" s="2935"/>
      <c r="D66" s="454"/>
      <c r="E66" s="149"/>
      <c r="F66" s="149"/>
      <c r="G66" s="435"/>
    </row>
    <row r="67" spans="1:7" ht="24.75" hidden="1" thickBot="1" x14ac:dyDescent="0.25">
      <c r="A67" s="2915" t="s">
        <v>639</v>
      </c>
      <c r="B67" s="2924" t="s">
        <v>640</v>
      </c>
      <c r="C67" s="2935"/>
      <c r="D67" s="454"/>
      <c r="E67" s="149"/>
      <c r="F67" s="149"/>
      <c r="G67" s="435"/>
    </row>
    <row r="68" spans="1:7" ht="24.75" hidden="1" thickBot="1" x14ac:dyDescent="0.25">
      <c r="A68" s="2915" t="s">
        <v>641</v>
      </c>
      <c r="B68" s="2924" t="s">
        <v>642</v>
      </c>
      <c r="C68" s="2935"/>
      <c r="D68" s="454"/>
      <c r="E68" s="149"/>
      <c r="F68" s="149"/>
      <c r="G68" s="435"/>
    </row>
    <row r="69" spans="1:7" ht="24.75" hidden="1" thickBot="1" x14ac:dyDescent="0.25">
      <c r="A69" s="2915" t="s">
        <v>643</v>
      </c>
      <c r="B69" s="2924" t="s">
        <v>21</v>
      </c>
      <c r="C69" s="2935"/>
      <c r="D69" s="454"/>
      <c r="E69" s="149"/>
      <c r="F69" s="149"/>
      <c r="G69" s="435"/>
    </row>
    <row r="70" spans="1:7" ht="24.75" hidden="1" thickBot="1" x14ac:dyDescent="0.25">
      <c r="A70" s="2915" t="s">
        <v>22</v>
      </c>
      <c r="B70" s="2924" t="s">
        <v>23</v>
      </c>
      <c r="C70" s="2935"/>
      <c r="D70" s="454"/>
      <c r="E70" s="149"/>
      <c r="F70" s="149"/>
      <c r="G70" s="435"/>
    </row>
    <row r="71" spans="1:7" ht="24.75" hidden="1" thickBot="1" x14ac:dyDescent="0.25">
      <c r="A71" s="2915" t="s">
        <v>24</v>
      </c>
      <c r="B71" s="2923" t="s">
        <v>25</v>
      </c>
      <c r="C71" s="2935"/>
      <c r="D71" s="454"/>
      <c r="E71" s="149"/>
      <c r="F71" s="149"/>
      <c r="G71" s="435"/>
    </row>
    <row r="72" spans="1:7" ht="24.75" hidden="1" thickBot="1" x14ac:dyDescent="0.25">
      <c r="A72" s="2915" t="s">
        <v>26</v>
      </c>
      <c r="B72" s="2924" t="s">
        <v>967</v>
      </c>
      <c r="C72" s="2935"/>
      <c r="D72" s="454"/>
      <c r="E72" s="149"/>
      <c r="F72" s="149"/>
      <c r="G72" s="435"/>
    </row>
    <row r="73" spans="1:7" ht="13.5" hidden="1" thickBot="1" x14ac:dyDescent="0.25">
      <c r="A73" s="2915" t="s">
        <v>27</v>
      </c>
      <c r="B73" s="2925" t="s">
        <v>971</v>
      </c>
      <c r="C73" s="2935"/>
      <c r="D73" s="454"/>
      <c r="E73" s="149"/>
      <c r="F73" s="149"/>
      <c r="G73" s="435"/>
    </row>
    <row r="74" spans="1:7" ht="36.75" hidden="1" thickBot="1" x14ac:dyDescent="0.25">
      <c r="A74" s="2915" t="s">
        <v>972</v>
      </c>
      <c r="B74" s="2925" t="s">
        <v>973</v>
      </c>
      <c r="C74" s="2935"/>
      <c r="D74" s="454"/>
      <c r="E74" s="149"/>
      <c r="F74" s="149"/>
      <c r="G74" s="435"/>
    </row>
    <row r="75" spans="1:7" ht="24.75" hidden="1" thickBot="1" x14ac:dyDescent="0.25">
      <c r="A75" s="2915" t="s">
        <v>974</v>
      </c>
      <c r="B75" s="2924" t="s">
        <v>969</v>
      </c>
      <c r="C75" s="2935"/>
      <c r="D75" s="454"/>
      <c r="E75" s="149"/>
      <c r="F75" s="149"/>
      <c r="G75" s="435"/>
    </row>
    <row r="76" spans="1:7" ht="24.75" hidden="1" thickBot="1" x14ac:dyDescent="0.25">
      <c r="A76" s="2915" t="s">
        <v>975</v>
      </c>
      <c r="B76" s="2924" t="s">
        <v>638</v>
      </c>
      <c r="C76" s="2935"/>
      <c r="D76" s="454"/>
      <c r="E76" s="149"/>
      <c r="F76" s="149"/>
      <c r="G76" s="435"/>
    </row>
    <row r="77" spans="1:7" ht="24.75" hidden="1" thickBot="1" x14ac:dyDescent="0.25">
      <c r="A77" s="2915" t="s">
        <v>685</v>
      </c>
      <c r="B77" s="2924" t="s">
        <v>640</v>
      </c>
      <c r="C77" s="2935"/>
      <c r="D77" s="454"/>
      <c r="E77" s="149"/>
      <c r="F77" s="149"/>
      <c r="G77" s="435"/>
    </row>
    <row r="78" spans="1:7" ht="24.75" hidden="1" thickBot="1" x14ac:dyDescent="0.25">
      <c r="A78" s="2915" t="s">
        <v>686</v>
      </c>
      <c r="B78" s="2924" t="s">
        <v>642</v>
      </c>
      <c r="C78" s="2935"/>
      <c r="D78" s="454"/>
      <c r="E78" s="149"/>
      <c r="F78" s="149"/>
      <c r="G78" s="435"/>
    </row>
    <row r="79" spans="1:7" ht="24.75" hidden="1" thickBot="1" x14ac:dyDescent="0.25">
      <c r="A79" s="2915" t="s">
        <v>687</v>
      </c>
      <c r="B79" s="2924" t="s">
        <v>688</v>
      </c>
      <c r="C79" s="2935"/>
      <c r="D79" s="454"/>
      <c r="E79" s="149"/>
      <c r="F79" s="149"/>
      <c r="G79" s="435"/>
    </row>
    <row r="80" spans="1:7" ht="24.75" hidden="1" thickBot="1" x14ac:dyDescent="0.25">
      <c r="A80" s="2915" t="s">
        <v>689</v>
      </c>
      <c r="B80" s="2924" t="s">
        <v>690</v>
      </c>
      <c r="C80" s="2935"/>
      <c r="D80" s="454"/>
      <c r="E80" s="149"/>
      <c r="F80" s="149"/>
      <c r="G80" s="435"/>
    </row>
    <row r="81" spans="1:7" ht="24.75" hidden="1" thickBot="1" x14ac:dyDescent="0.25">
      <c r="A81" s="2917" t="s">
        <v>691</v>
      </c>
      <c r="B81" s="2923" t="s">
        <v>692</v>
      </c>
      <c r="C81" s="2935"/>
      <c r="D81" s="454"/>
      <c r="E81" s="149"/>
      <c r="F81" s="149"/>
      <c r="G81" s="435"/>
    </row>
    <row r="82" spans="1:7" ht="48.75" hidden="1" thickBot="1" x14ac:dyDescent="0.25">
      <c r="A82" s="2915" t="s">
        <v>693</v>
      </c>
      <c r="B82" s="2923" t="s">
        <v>694</v>
      </c>
      <c r="C82" s="2935"/>
      <c r="D82" s="454"/>
      <c r="E82" s="149"/>
      <c r="F82" s="149"/>
      <c r="G82" s="435"/>
    </row>
    <row r="83" spans="1:7" ht="24.75" hidden="1" thickBot="1" x14ac:dyDescent="0.25">
      <c r="A83" s="2915" t="s">
        <v>695</v>
      </c>
      <c r="B83" s="2924" t="s">
        <v>45</v>
      </c>
      <c r="C83" s="2935"/>
      <c r="D83" s="454"/>
      <c r="E83" s="149"/>
      <c r="F83" s="149"/>
      <c r="G83" s="435"/>
    </row>
    <row r="84" spans="1:7" ht="24.75" hidden="1" thickBot="1" x14ac:dyDescent="0.25">
      <c r="A84" s="2915" t="s">
        <v>46</v>
      </c>
      <c r="B84" s="2924" t="s">
        <v>47</v>
      </c>
      <c r="C84" s="2935"/>
      <c r="D84" s="454"/>
      <c r="E84" s="149"/>
      <c r="F84" s="149"/>
      <c r="G84" s="435"/>
    </row>
    <row r="85" spans="1:7" ht="13.5" hidden="1" thickBot="1" x14ac:dyDescent="0.25">
      <c r="A85" s="2915" t="s">
        <v>48</v>
      </c>
      <c r="B85" s="2924" t="s">
        <v>49</v>
      </c>
      <c r="C85" s="2935"/>
      <c r="D85" s="454"/>
      <c r="E85" s="149"/>
      <c r="F85" s="149"/>
      <c r="G85" s="435"/>
    </row>
    <row r="86" spans="1:7" ht="24.75" hidden="1" thickBot="1" x14ac:dyDescent="0.25">
      <c r="A86" s="2917" t="s">
        <v>50</v>
      </c>
      <c r="B86" s="2923" t="s">
        <v>51</v>
      </c>
      <c r="C86" s="2935"/>
      <c r="D86" s="454"/>
      <c r="E86" s="149"/>
      <c r="F86" s="149"/>
      <c r="G86" s="435"/>
    </row>
    <row r="87" spans="1:7" ht="36.75" hidden="1" thickBot="1" x14ac:dyDescent="0.25">
      <c r="A87" s="2915" t="s">
        <v>52</v>
      </c>
      <c r="B87" s="2923" t="s">
        <v>53</v>
      </c>
      <c r="C87" s="2935"/>
      <c r="D87" s="454"/>
      <c r="E87" s="149"/>
      <c r="F87" s="149"/>
      <c r="G87" s="435"/>
    </row>
    <row r="88" spans="1:7" ht="24.75" hidden="1" thickBot="1" x14ac:dyDescent="0.25">
      <c r="A88" s="2915" t="s">
        <v>54</v>
      </c>
      <c r="B88" s="2924" t="s">
        <v>945</v>
      </c>
      <c r="C88" s="2935"/>
      <c r="D88" s="454"/>
      <c r="E88" s="149"/>
      <c r="F88" s="149"/>
      <c r="G88" s="435"/>
    </row>
    <row r="89" spans="1:7" ht="24.75" hidden="1" thickBot="1" x14ac:dyDescent="0.25">
      <c r="A89" s="2915" t="s">
        <v>946</v>
      </c>
      <c r="B89" s="2924" t="s">
        <v>677</v>
      </c>
      <c r="C89" s="2935"/>
      <c r="D89" s="454"/>
      <c r="E89" s="149"/>
      <c r="F89" s="149"/>
      <c r="G89" s="435"/>
    </row>
    <row r="90" spans="1:7" ht="24.75" hidden="1" thickBot="1" x14ac:dyDescent="0.25">
      <c r="A90" s="2915" t="s">
        <v>678</v>
      </c>
      <c r="B90" s="2924" t="s">
        <v>679</v>
      </c>
      <c r="C90" s="2935"/>
      <c r="D90" s="454"/>
      <c r="E90" s="149"/>
      <c r="F90" s="149"/>
      <c r="G90" s="435"/>
    </row>
    <row r="91" spans="1:7" ht="24.75" hidden="1" thickBot="1" x14ac:dyDescent="0.25">
      <c r="A91" s="2915" t="s">
        <v>680</v>
      </c>
      <c r="B91" s="2924" t="s">
        <v>681</v>
      </c>
      <c r="C91" s="2935"/>
      <c r="D91" s="454"/>
      <c r="E91" s="149"/>
      <c r="F91" s="149"/>
      <c r="G91" s="435"/>
    </row>
    <row r="92" spans="1:7" ht="24.75" hidden="1" thickBot="1" x14ac:dyDescent="0.25">
      <c r="A92" s="2915" t="s">
        <v>682</v>
      </c>
      <c r="B92" s="2924" t="s">
        <v>683</v>
      </c>
      <c r="C92" s="2935"/>
      <c r="D92" s="454"/>
      <c r="E92" s="149"/>
      <c r="F92" s="149"/>
      <c r="G92" s="435"/>
    </row>
    <row r="93" spans="1:7" ht="36.75" hidden="1" thickBot="1" x14ac:dyDescent="0.25">
      <c r="A93" s="2915" t="s">
        <v>684</v>
      </c>
      <c r="B93" s="2924" t="s">
        <v>170</v>
      </c>
      <c r="C93" s="2935"/>
      <c r="D93" s="454"/>
      <c r="E93" s="149"/>
      <c r="F93" s="149"/>
      <c r="G93" s="435"/>
    </row>
    <row r="94" spans="1:7" ht="36.75" hidden="1" thickBot="1" x14ac:dyDescent="0.25">
      <c r="A94" s="2915" t="s">
        <v>171</v>
      </c>
      <c r="B94" s="2924" t="s">
        <v>172</v>
      </c>
      <c r="C94" s="2935"/>
      <c r="D94" s="454"/>
      <c r="E94" s="149"/>
      <c r="F94" s="149"/>
      <c r="G94" s="435"/>
    </row>
    <row r="95" spans="1:7" ht="36.75" hidden="1" thickBot="1" x14ac:dyDescent="0.25">
      <c r="A95" s="2915" t="s">
        <v>173</v>
      </c>
      <c r="B95" s="2923" t="s">
        <v>174</v>
      </c>
      <c r="C95" s="2935"/>
      <c r="D95" s="454"/>
      <c r="E95" s="149"/>
      <c r="F95" s="149"/>
      <c r="G95" s="435"/>
    </row>
    <row r="96" spans="1:7" ht="24.75" hidden="1" thickBot="1" x14ac:dyDescent="0.25">
      <c r="A96" s="2915" t="s">
        <v>175</v>
      </c>
      <c r="B96" s="2924" t="s">
        <v>176</v>
      </c>
      <c r="C96" s="2935"/>
      <c r="D96" s="454"/>
      <c r="E96" s="149"/>
      <c r="F96" s="149"/>
      <c r="G96" s="435"/>
    </row>
    <row r="97" spans="1:7" ht="24.75" hidden="1" thickBot="1" x14ac:dyDescent="0.25">
      <c r="A97" s="2915" t="s">
        <v>177</v>
      </c>
      <c r="B97" s="2924" t="s">
        <v>178</v>
      </c>
      <c r="C97" s="2935"/>
      <c r="D97" s="454"/>
      <c r="E97" s="149"/>
      <c r="F97" s="149"/>
      <c r="G97" s="435"/>
    </row>
    <row r="98" spans="1:7" ht="24.75" hidden="1" thickBot="1" x14ac:dyDescent="0.25">
      <c r="A98" s="2915" t="s">
        <v>179</v>
      </c>
      <c r="B98" s="2924" t="s">
        <v>729</v>
      </c>
      <c r="C98" s="2935"/>
      <c r="D98" s="454"/>
      <c r="E98" s="149"/>
      <c r="F98" s="149"/>
      <c r="G98" s="435"/>
    </row>
    <row r="99" spans="1:7" ht="24.75" hidden="1" thickBot="1" x14ac:dyDescent="0.25">
      <c r="A99" s="2915" t="s">
        <v>730</v>
      </c>
      <c r="B99" s="2924" t="s">
        <v>731</v>
      </c>
      <c r="C99" s="2935"/>
      <c r="D99" s="454"/>
      <c r="E99" s="149"/>
      <c r="F99" s="149"/>
      <c r="G99" s="435"/>
    </row>
    <row r="100" spans="1:7" ht="24.75" hidden="1" thickBot="1" x14ac:dyDescent="0.25">
      <c r="A100" s="2915" t="s">
        <v>732</v>
      </c>
      <c r="B100" s="2924" t="s">
        <v>702</v>
      </c>
      <c r="C100" s="2935"/>
      <c r="D100" s="454"/>
      <c r="E100" s="149"/>
      <c r="F100" s="149"/>
      <c r="G100" s="435"/>
    </row>
    <row r="101" spans="1:7" ht="24.75" hidden="1" thickBot="1" x14ac:dyDescent="0.25">
      <c r="A101" s="2915" t="s">
        <v>703</v>
      </c>
      <c r="B101" s="2924" t="s">
        <v>704</v>
      </c>
      <c r="C101" s="2935"/>
      <c r="D101" s="454"/>
      <c r="E101" s="149"/>
      <c r="F101" s="149"/>
      <c r="G101" s="435"/>
    </row>
    <row r="102" spans="1:7" ht="24.75" hidden="1" thickBot="1" x14ac:dyDescent="0.25">
      <c r="A102" s="2915" t="s">
        <v>705</v>
      </c>
      <c r="B102" s="2924" t="s">
        <v>706</v>
      </c>
      <c r="C102" s="2935"/>
      <c r="D102" s="454"/>
      <c r="E102" s="149"/>
      <c r="F102" s="149"/>
      <c r="G102" s="435"/>
    </row>
    <row r="103" spans="1:7" ht="24.75" hidden="1" thickBot="1" x14ac:dyDescent="0.25">
      <c r="A103" s="2917" t="s">
        <v>707</v>
      </c>
      <c r="B103" s="2923" t="s">
        <v>708</v>
      </c>
      <c r="C103" s="2935"/>
      <c r="D103" s="454"/>
      <c r="E103" s="149"/>
      <c r="F103" s="149"/>
      <c r="G103" s="435"/>
    </row>
    <row r="104" spans="1:7" ht="24.75" hidden="1" thickBot="1" x14ac:dyDescent="0.25">
      <c r="A104" s="2915" t="s">
        <v>709</v>
      </c>
      <c r="B104" s="2923" t="s">
        <v>710</v>
      </c>
      <c r="C104" s="2935"/>
      <c r="D104" s="454"/>
      <c r="E104" s="149"/>
      <c r="F104" s="149"/>
      <c r="G104" s="435"/>
    </row>
    <row r="105" spans="1:7" ht="24.75" hidden="1" thickBot="1" x14ac:dyDescent="0.25">
      <c r="A105" s="2915" t="s">
        <v>711</v>
      </c>
      <c r="B105" s="2924" t="s">
        <v>712</v>
      </c>
      <c r="C105" s="2935"/>
      <c r="D105" s="454"/>
      <c r="E105" s="149"/>
      <c r="F105" s="149"/>
      <c r="G105" s="435"/>
    </row>
    <row r="106" spans="1:7" ht="36.75" hidden="1" thickBot="1" x14ac:dyDescent="0.25">
      <c r="A106" s="2915" t="s">
        <v>713</v>
      </c>
      <c r="B106" s="2924" t="s">
        <v>714</v>
      </c>
      <c r="C106" s="2935"/>
      <c r="D106" s="454"/>
      <c r="E106" s="149"/>
      <c r="F106" s="149"/>
      <c r="G106" s="435"/>
    </row>
    <row r="107" spans="1:7" ht="48.75" hidden="1" thickBot="1" x14ac:dyDescent="0.25">
      <c r="A107" s="2915" t="s">
        <v>715</v>
      </c>
      <c r="B107" s="2924" t="s">
        <v>716</v>
      </c>
      <c r="C107" s="2935"/>
      <c r="D107" s="454"/>
      <c r="E107" s="149"/>
      <c r="F107" s="149"/>
      <c r="G107" s="435"/>
    </row>
    <row r="108" spans="1:7" ht="36.75" hidden="1" thickBot="1" x14ac:dyDescent="0.25">
      <c r="A108" s="2915" t="s">
        <v>717</v>
      </c>
      <c r="B108" s="2924" t="s">
        <v>718</v>
      </c>
      <c r="C108" s="2935"/>
      <c r="D108" s="454"/>
      <c r="E108" s="149"/>
      <c r="F108" s="149"/>
      <c r="G108" s="435"/>
    </row>
    <row r="109" spans="1:7" ht="24.75" hidden="1" thickBot="1" x14ac:dyDescent="0.25">
      <c r="A109" s="2915" t="s">
        <v>719</v>
      </c>
      <c r="B109" s="2923" t="s">
        <v>720</v>
      </c>
      <c r="C109" s="2935"/>
      <c r="D109" s="454"/>
      <c r="E109" s="149"/>
      <c r="F109" s="149"/>
      <c r="G109" s="435"/>
    </row>
    <row r="110" spans="1:7" ht="24.75" hidden="1" thickBot="1" x14ac:dyDescent="0.25">
      <c r="A110" s="2915" t="s">
        <v>721</v>
      </c>
      <c r="B110" s="2924" t="s">
        <v>722</v>
      </c>
      <c r="C110" s="2935"/>
      <c r="D110" s="454"/>
      <c r="E110" s="149"/>
      <c r="F110" s="149"/>
      <c r="G110" s="435"/>
    </row>
    <row r="111" spans="1:7" ht="36.75" hidden="1" thickBot="1" x14ac:dyDescent="0.25">
      <c r="A111" s="2915" t="s">
        <v>723</v>
      </c>
      <c r="B111" s="2924" t="s">
        <v>259</v>
      </c>
      <c r="C111" s="2935"/>
      <c r="D111" s="454"/>
      <c r="E111" s="149"/>
      <c r="F111" s="149"/>
      <c r="G111" s="435"/>
    </row>
    <row r="112" spans="1:7" ht="24.75" hidden="1" thickBot="1" x14ac:dyDescent="0.25">
      <c r="A112" s="2915" t="s">
        <v>260</v>
      </c>
      <c r="B112" s="2924" t="s">
        <v>261</v>
      </c>
      <c r="C112" s="2935"/>
      <c r="D112" s="454"/>
      <c r="E112" s="149"/>
      <c r="F112" s="149"/>
      <c r="G112" s="435"/>
    </row>
    <row r="113" spans="1:7" ht="24.75" hidden="1" thickBot="1" x14ac:dyDescent="0.25">
      <c r="A113" s="2915" t="s">
        <v>262</v>
      </c>
      <c r="B113" s="2923" t="s">
        <v>263</v>
      </c>
      <c r="C113" s="2935"/>
      <c r="D113" s="454"/>
      <c r="E113" s="149"/>
      <c r="F113" s="149"/>
      <c r="G113" s="435"/>
    </row>
    <row r="114" spans="1:7" ht="36.75" hidden="1" thickBot="1" x14ac:dyDescent="0.25">
      <c r="A114" s="2915" t="s">
        <v>264</v>
      </c>
      <c r="B114" s="2924" t="s">
        <v>265</v>
      </c>
      <c r="C114" s="2935"/>
      <c r="D114" s="454"/>
      <c r="E114" s="149"/>
      <c r="F114" s="149"/>
      <c r="G114" s="435"/>
    </row>
    <row r="115" spans="1:7" ht="24.75" hidden="1" thickBot="1" x14ac:dyDescent="0.25">
      <c r="A115" s="2915" t="s">
        <v>266</v>
      </c>
      <c r="B115" s="2923" t="s">
        <v>267</v>
      </c>
      <c r="C115" s="2935"/>
      <c r="D115" s="454"/>
      <c r="E115" s="149"/>
      <c r="F115" s="149"/>
      <c r="G115" s="435"/>
    </row>
    <row r="116" spans="1:7" ht="24.75" hidden="1" thickBot="1" x14ac:dyDescent="0.25">
      <c r="A116" s="2915" t="s">
        <v>268</v>
      </c>
      <c r="B116" s="2924" t="s">
        <v>720</v>
      </c>
      <c r="C116" s="2935"/>
      <c r="D116" s="454"/>
      <c r="E116" s="149"/>
      <c r="F116" s="149"/>
      <c r="G116" s="435"/>
    </row>
    <row r="117" spans="1:7" ht="13.5" hidden="1" thickBot="1" x14ac:dyDescent="0.25">
      <c r="A117" s="2915" t="s">
        <v>269</v>
      </c>
      <c r="B117" s="2924" t="s">
        <v>270</v>
      </c>
      <c r="C117" s="2935"/>
      <c r="D117" s="454"/>
      <c r="E117" s="149"/>
      <c r="F117" s="149"/>
      <c r="G117" s="435"/>
    </row>
    <row r="118" spans="1:7" ht="24.75" hidden="1" thickBot="1" x14ac:dyDescent="0.25">
      <c r="A118" s="2915" t="s">
        <v>271</v>
      </c>
      <c r="B118" s="2924" t="s">
        <v>228</v>
      </c>
      <c r="C118" s="2935"/>
      <c r="D118" s="454"/>
      <c r="E118" s="149"/>
      <c r="F118" s="149"/>
      <c r="G118" s="435"/>
    </row>
    <row r="119" spans="1:7" ht="24.75" hidden="1" thickBot="1" x14ac:dyDescent="0.25">
      <c r="A119" s="2915" t="s">
        <v>229</v>
      </c>
      <c r="B119" s="2924" t="s">
        <v>230</v>
      </c>
      <c r="C119" s="2935"/>
      <c r="D119" s="454"/>
      <c r="E119" s="149"/>
      <c r="F119" s="149"/>
      <c r="G119" s="435"/>
    </row>
    <row r="120" spans="1:7" ht="24.75" hidden="1" thickBot="1" x14ac:dyDescent="0.25">
      <c r="A120" s="2917" t="s">
        <v>231</v>
      </c>
      <c r="B120" s="2923" t="s">
        <v>232</v>
      </c>
      <c r="C120" s="2935"/>
      <c r="D120" s="454"/>
      <c r="E120" s="149"/>
      <c r="F120" s="149"/>
      <c r="G120" s="435"/>
    </row>
    <row r="121" spans="1:7" ht="24.75" hidden="1" thickBot="1" x14ac:dyDescent="0.25">
      <c r="A121" s="2915" t="s">
        <v>233</v>
      </c>
      <c r="B121" s="2924" t="s">
        <v>234</v>
      </c>
      <c r="C121" s="2935"/>
      <c r="D121" s="454"/>
      <c r="E121" s="149"/>
      <c r="F121" s="149"/>
      <c r="G121" s="435"/>
    </row>
    <row r="122" spans="1:7" ht="24.75" hidden="1" thickBot="1" x14ac:dyDescent="0.25">
      <c r="A122" s="2915" t="s">
        <v>235</v>
      </c>
      <c r="B122" s="2924" t="s">
        <v>236</v>
      </c>
      <c r="C122" s="2935"/>
      <c r="D122" s="454"/>
      <c r="E122" s="149"/>
      <c r="F122" s="149"/>
      <c r="G122" s="435"/>
    </row>
    <row r="123" spans="1:7" ht="24.75" hidden="1" thickBot="1" x14ac:dyDescent="0.25">
      <c r="A123" s="2915" t="s">
        <v>237</v>
      </c>
      <c r="B123" s="2924" t="s">
        <v>248</v>
      </c>
      <c r="C123" s="2935"/>
      <c r="D123" s="455"/>
      <c r="E123" s="442"/>
      <c r="F123" s="442"/>
      <c r="G123" s="443"/>
    </row>
    <row r="124" spans="1:7" ht="26.25" thickBot="1" x14ac:dyDescent="0.25">
      <c r="A124" s="2918" t="s">
        <v>1178</v>
      </c>
      <c r="B124" s="2926" t="s">
        <v>887</v>
      </c>
      <c r="C124" s="2936">
        <f>C125</f>
        <v>7000</v>
      </c>
      <c r="D124" s="456" t="e">
        <f>-D125</f>
        <v>#REF!</v>
      </c>
      <c r="E124" s="446" t="e">
        <f>-E125</f>
        <v>#REF!</v>
      </c>
      <c r="F124" s="446" t="e">
        <f>-F125</f>
        <v>#REF!</v>
      </c>
      <c r="G124" s="447" t="e">
        <f>-G125</f>
        <v>#REF!</v>
      </c>
    </row>
    <row r="125" spans="1:7" ht="14.25" x14ac:dyDescent="0.2">
      <c r="A125" s="2919" t="s">
        <v>1179</v>
      </c>
      <c r="B125" s="2927" t="s">
        <v>976</v>
      </c>
      <c r="C125" s="2936">
        <f>C213+C165</f>
        <v>7000</v>
      </c>
      <c r="D125" s="457" t="e">
        <f>D126-D174</f>
        <v>#REF!</v>
      </c>
      <c r="E125" s="444" t="e">
        <f>E126-E174</f>
        <v>#REF!</v>
      </c>
      <c r="F125" s="444" t="e">
        <f>F126-F174</f>
        <v>#REF!</v>
      </c>
      <c r="G125" s="445" t="e">
        <f>G126-G174</f>
        <v>#REF!</v>
      </c>
    </row>
    <row r="126" spans="1:7" ht="14.25" hidden="1" x14ac:dyDescent="0.2">
      <c r="A126" s="2920" t="s">
        <v>1180</v>
      </c>
      <c r="B126" s="2928" t="s">
        <v>249</v>
      </c>
      <c r="C126" s="2937">
        <f>C148</f>
        <v>-117659</v>
      </c>
      <c r="D126" s="458" t="e">
        <f>D148</f>
        <v>#REF!</v>
      </c>
      <c r="E126" s="424" t="e">
        <f>E148</f>
        <v>#REF!</v>
      </c>
      <c r="F126" s="424" t="e">
        <f>F148</f>
        <v>#REF!</v>
      </c>
      <c r="G126" s="353" t="e">
        <f>G148</f>
        <v>#REF!</v>
      </c>
    </row>
    <row r="127" spans="1:7" ht="14.25" hidden="1" x14ac:dyDescent="0.2">
      <c r="A127" s="2915" t="s">
        <v>250</v>
      </c>
      <c r="B127" s="2924" t="s">
        <v>251</v>
      </c>
      <c r="C127" s="2938"/>
      <c r="D127" s="459"/>
      <c r="E127" s="430"/>
      <c r="F127" s="430"/>
      <c r="G127" s="436"/>
    </row>
    <row r="128" spans="1:7" ht="14.25" hidden="1" x14ac:dyDescent="0.2">
      <c r="A128" s="2915" t="s">
        <v>252</v>
      </c>
      <c r="B128" s="2924" t="s">
        <v>253</v>
      </c>
      <c r="C128" s="2938"/>
      <c r="D128" s="459"/>
      <c r="E128" s="430"/>
      <c r="F128" s="430"/>
      <c r="G128" s="436"/>
    </row>
    <row r="129" spans="1:7" ht="24" hidden="1" x14ac:dyDescent="0.2">
      <c r="A129" s="2915" t="s">
        <v>254</v>
      </c>
      <c r="B129" s="2924" t="s">
        <v>353</v>
      </c>
      <c r="C129" s="2938"/>
      <c r="D129" s="459"/>
      <c r="E129" s="430"/>
      <c r="F129" s="430"/>
      <c r="G129" s="436"/>
    </row>
    <row r="130" spans="1:7" ht="24" hidden="1" x14ac:dyDescent="0.2">
      <c r="A130" s="2915" t="s">
        <v>354</v>
      </c>
      <c r="B130" s="2924" t="s">
        <v>355</v>
      </c>
      <c r="C130" s="2938"/>
      <c r="D130" s="459"/>
      <c r="E130" s="430"/>
      <c r="F130" s="430"/>
      <c r="G130" s="436"/>
    </row>
    <row r="131" spans="1:7" ht="24" hidden="1" x14ac:dyDescent="0.2">
      <c r="A131" s="2915" t="s">
        <v>356</v>
      </c>
      <c r="B131" s="2924" t="s">
        <v>339</v>
      </c>
      <c r="C131" s="2938"/>
      <c r="D131" s="459"/>
      <c r="E131" s="430"/>
      <c r="F131" s="430"/>
      <c r="G131" s="436"/>
    </row>
    <row r="132" spans="1:7" ht="24" hidden="1" x14ac:dyDescent="0.2">
      <c r="A132" s="2915" t="s">
        <v>340</v>
      </c>
      <c r="B132" s="2924" t="s">
        <v>341</v>
      </c>
      <c r="C132" s="2938"/>
      <c r="D132" s="459"/>
      <c r="E132" s="430"/>
      <c r="F132" s="430"/>
      <c r="G132" s="436"/>
    </row>
    <row r="133" spans="1:7" ht="24" hidden="1" x14ac:dyDescent="0.2">
      <c r="A133" s="2915" t="s">
        <v>342</v>
      </c>
      <c r="B133" s="2924" t="s">
        <v>755</v>
      </c>
      <c r="C133" s="2938"/>
      <c r="D133" s="459"/>
      <c r="E133" s="430"/>
      <c r="F133" s="430"/>
      <c r="G133" s="436"/>
    </row>
    <row r="134" spans="1:7" ht="24" hidden="1" x14ac:dyDescent="0.2">
      <c r="A134" s="2915" t="s">
        <v>756</v>
      </c>
      <c r="B134" s="2924" t="s">
        <v>757</v>
      </c>
      <c r="C134" s="2938"/>
      <c r="D134" s="459"/>
      <c r="E134" s="430"/>
      <c r="F134" s="430"/>
      <c r="G134" s="436"/>
    </row>
    <row r="135" spans="1:7" ht="36" hidden="1" x14ac:dyDescent="0.2">
      <c r="A135" s="2915" t="s">
        <v>758</v>
      </c>
      <c r="B135" s="2924" t="s">
        <v>759</v>
      </c>
      <c r="C135" s="2938"/>
      <c r="D135" s="459"/>
      <c r="E135" s="430"/>
      <c r="F135" s="430"/>
      <c r="G135" s="436"/>
    </row>
    <row r="136" spans="1:7" ht="24" hidden="1" x14ac:dyDescent="0.2">
      <c r="A136" s="2915" t="s">
        <v>760</v>
      </c>
      <c r="B136" s="2924" t="s">
        <v>761</v>
      </c>
      <c r="C136" s="2938"/>
      <c r="D136" s="459"/>
      <c r="E136" s="430"/>
      <c r="F136" s="430"/>
      <c r="G136" s="436"/>
    </row>
    <row r="137" spans="1:7" ht="24" hidden="1" x14ac:dyDescent="0.2">
      <c r="A137" s="2915" t="s">
        <v>762</v>
      </c>
      <c r="B137" s="2924" t="s">
        <v>763</v>
      </c>
      <c r="C137" s="2938"/>
      <c r="D137" s="459"/>
      <c r="E137" s="430"/>
      <c r="F137" s="430"/>
      <c r="G137" s="436"/>
    </row>
    <row r="138" spans="1:7" ht="24" hidden="1" x14ac:dyDescent="0.2">
      <c r="A138" s="2915" t="s">
        <v>764</v>
      </c>
      <c r="B138" s="2924" t="s">
        <v>765</v>
      </c>
      <c r="C138" s="2938"/>
      <c r="D138" s="459"/>
      <c r="E138" s="430"/>
      <c r="F138" s="430"/>
      <c r="G138" s="436"/>
    </row>
    <row r="139" spans="1:7" ht="24" hidden="1" x14ac:dyDescent="0.2">
      <c r="A139" s="2915" t="s">
        <v>766</v>
      </c>
      <c r="B139" s="2924" t="s">
        <v>767</v>
      </c>
      <c r="C139" s="2938"/>
      <c r="D139" s="459"/>
      <c r="E139" s="430"/>
      <c r="F139" s="430"/>
      <c r="G139" s="436"/>
    </row>
    <row r="140" spans="1:7" ht="24" hidden="1" x14ac:dyDescent="0.2">
      <c r="A140" s="2915" t="s">
        <v>768</v>
      </c>
      <c r="B140" s="2924" t="s">
        <v>769</v>
      </c>
      <c r="C140" s="2938"/>
      <c r="D140" s="459"/>
      <c r="E140" s="430"/>
      <c r="F140" s="430"/>
      <c r="G140" s="436"/>
    </row>
    <row r="141" spans="1:7" ht="24" hidden="1" x14ac:dyDescent="0.2">
      <c r="A141" s="2915" t="s">
        <v>770</v>
      </c>
      <c r="B141" s="2924" t="s">
        <v>372</v>
      </c>
      <c r="C141" s="2938"/>
      <c r="D141" s="459"/>
      <c r="E141" s="430"/>
      <c r="F141" s="430"/>
      <c r="G141" s="436"/>
    </row>
    <row r="142" spans="1:7" ht="24" hidden="1" x14ac:dyDescent="0.2">
      <c r="A142" s="2915" t="s">
        <v>373</v>
      </c>
      <c r="B142" s="2924" t="s">
        <v>374</v>
      </c>
      <c r="C142" s="2938"/>
      <c r="D142" s="459"/>
      <c r="E142" s="430"/>
      <c r="F142" s="430"/>
      <c r="G142" s="436"/>
    </row>
    <row r="143" spans="1:7" ht="24" hidden="1" x14ac:dyDescent="0.2">
      <c r="A143" s="2915" t="s">
        <v>408</v>
      </c>
      <c r="B143" s="2924" t="s">
        <v>409</v>
      </c>
      <c r="C143" s="2938"/>
      <c r="D143" s="459"/>
      <c r="E143" s="430"/>
      <c r="F143" s="430"/>
      <c r="G143" s="436"/>
    </row>
    <row r="144" spans="1:7" ht="36" hidden="1" x14ac:dyDescent="0.2">
      <c r="A144" s="2915" t="s">
        <v>410</v>
      </c>
      <c r="B144" s="2924" t="s">
        <v>823</v>
      </c>
      <c r="C144" s="2938"/>
      <c r="D144" s="459"/>
      <c r="E144" s="430"/>
      <c r="F144" s="430"/>
      <c r="G144" s="436"/>
    </row>
    <row r="145" spans="1:7" ht="36" hidden="1" x14ac:dyDescent="0.2">
      <c r="A145" s="2915" t="s">
        <v>824</v>
      </c>
      <c r="B145" s="2924" t="s">
        <v>825</v>
      </c>
      <c r="C145" s="2938"/>
      <c r="D145" s="459"/>
      <c r="E145" s="430"/>
      <c r="F145" s="430"/>
      <c r="G145" s="436"/>
    </row>
    <row r="146" spans="1:7" ht="36" hidden="1" x14ac:dyDescent="0.2">
      <c r="A146" s="2915" t="s">
        <v>826</v>
      </c>
      <c r="B146" s="2924" t="s">
        <v>827</v>
      </c>
      <c r="C146" s="2938"/>
      <c r="D146" s="459"/>
      <c r="E146" s="430"/>
      <c r="F146" s="430"/>
      <c r="G146" s="436"/>
    </row>
    <row r="147" spans="1:7" ht="36" hidden="1" x14ac:dyDescent="0.2">
      <c r="A147" s="2915" t="s">
        <v>828</v>
      </c>
      <c r="B147" s="2924" t="s">
        <v>829</v>
      </c>
      <c r="C147" s="2938"/>
      <c r="D147" s="459"/>
      <c r="E147" s="430"/>
      <c r="F147" s="430"/>
      <c r="G147" s="436"/>
    </row>
    <row r="148" spans="1:7" ht="15" hidden="1" x14ac:dyDescent="0.2">
      <c r="A148" s="2915" t="s">
        <v>1181</v>
      </c>
      <c r="B148" s="2924" t="s">
        <v>830</v>
      </c>
      <c r="C148" s="2939">
        <f>C162</f>
        <v>-117659</v>
      </c>
      <c r="D148" s="460" t="e">
        <f>D162</f>
        <v>#REF!</v>
      </c>
      <c r="E148" s="425" t="e">
        <f>E162</f>
        <v>#REF!</v>
      </c>
      <c r="F148" s="425" t="e">
        <f>F162</f>
        <v>#REF!</v>
      </c>
      <c r="G148" s="354" t="e">
        <f>G162</f>
        <v>#REF!</v>
      </c>
    </row>
    <row r="149" spans="1:7" ht="15" hidden="1" x14ac:dyDescent="0.2">
      <c r="A149" s="2915" t="s">
        <v>831</v>
      </c>
      <c r="B149" s="2924" t="s">
        <v>832</v>
      </c>
      <c r="C149" s="2939"/>
      <c r="D149" s="459"/>
      <c r="E149" s="430"/>
      <c r="F149" s="430"/>
      <c r="G149" s="436"/>
    </row>
    <row r="150" spans="1:7" ht="15" hidden="1" x14ac:dyDescent="0.2">
      <c r="A150" s="2915" t="s">
        <v>833</v>
      </c>
      <c r="B150" s="2924" t="s">
        <v>834</v>
      </c>
      <c r="C150" s="2939"/>
      <c r="D150" s="459"/>
      <c r="E150" s="430"/>
      <c r="F150" s="430"/>
      <c r="G150" s="436"/>
    </row>
    <row r="151" spans="1:7" ht="24" hidden="1" x14ac:dyDescent="0.2">
      <c r="A151" s="2915" t="s">
        <v>835</v>
      </c>
      <c r="B151" s="2924" t="s">
        <v>836</v>
      </c>
      <c r="C151" s="2939"/>
      <c r="D151" s="459"/>
      <c r="E151" s="430"/>
      <c r="F151" s="430"/>
      <c r="G151" s="436"/>
    </row>
    <row r="152" spans="1:7" ht="15" hidden="1" x14ac:dyDescent="0.2">
      <c r="A152" s="2915" t="s">
        <v>837</v>
      </c>
      <c r="B152" s="2924" t="s">
        <v>838</v>
      </c>
      <c r="C152" s="2939"/>
      <c r="D152" s="459"/>
      <c r="E152" s="430"/>
      <c r="F152" s="430"/>
      <c r="G152" s="436"/>
    </row>
    <row r="153" spans="1:7" ht="24" hidden="1" x14ac:dyDescent="0.2">
      <c r="A153" s="2915" t="s">
        <v>839</v>
      </c>
      <c r="B153" s="2924" t="s">
        <v>840</v>
      </c>
      <c r="C153" s="2939"/>
      <c r="D153" s="459"/>
      <c r="E153" s="430"/>
      <c r="F153" s="430"/>
      <c r="G153" s="436"/>
    </row>
    <row r="154" spans="1:7" ht="24" hidden="1" x14ac:dyDescent="0.2">
      <c r="A154" s="2915" t="s">
        <v>841</v>
      </c>
      <c r="B154" s="2924" t="s">
        <v>842</v>
      </c>
      <c r="C154" s="2939"/>
      <c r="D154" s="459"/>
      <c r="E154" s="430"/>
      <c r="F154" s="430"/>
      <c r="G154" s="436"/>
    </row>
    <row r="155" spans="1:7" ht="36" hidden="1" x14ac:dyDescent="0.2">
      <c r="A155" s="2915" t="s">
        <v>843</v>
      </c>
      <c r="B155" s="2924" t="s">
        <v>431</v>
      </c>
      <c r="C155" s="2939"/>
      <c r="D155" s="459"/>
      <c r="E155" s="430"/>
      <c r="F155" s="430"/>
      <c r="G155" s="436"/>
    </row>
    <row r="156" spans="1:7" ht="36" hidden="1" x14ac:dyDescent="0.2">
      <c r="A156" s="2915" t="s">
        <v>432</v>
      </c>
      <c r="B156" s="2924" t="s">
        <v>433</v>
      </c>
      <c r="C156" s="2939"/>
      <c r="D156" s="459"/>
      <c r="E156" s="430"/>
      <c r="F156" s="430"/>
      <c r="G156" s="436"/>
    </row>
    <row r="157" spans="1:7" ht="24" hidden="1" x14ac:dyDescent="0.2">
      <c r="A157" s="2915" t="s">
        <v>434</v>
      </c>
      <c r="B157" s="2924" t="s">
        <v>435</v>
      </c>
      <c r="C157" s="2939"/>
      <c r="D157" s="459"/>
      <c r="E157" s="430"/>
      <c r="F157" s="430"/>
      <c r="G157" s="436"/>
    </row>
    <row r="158" spans="1:7" ht="36" hidden="1" x14ac:dyDescent="0.2">
      <c r="A158" s="2915" t="s">
        <v>436</v>
      </c>
      <c r="B158" s="2924" t="s">
        <v>446</v>
      </c>
      <c r="C158" s="2939"/>
      <c r="D158" s="459"/>
      <c r="E158" s="430"/>
      <c r="F158" s="430"/>
      <c r="G158" s="436"/>
    </row>
    <row r="159" spans="1:7" ht="48" hidden="1" x14ac:dyDescent="0.2">
      <c r="A159" s="2915" t="s">
        <v>447</v>
      </c>
      <c r="B159" s="2924" t="s">
        <v>480</v>
      </c>
      <c r="C159" s="2939"/>
      <c r="D159" s="459"/>
      <c r="E159" s="430"/>
      <c r="F159" s="430"/>
      <c r="G159" s="436"/>
    </row>
    <row r="160" spans="1:7" ht="24" hidden="1" x14ac:dyDescent="0.2">
      <c r="A160" s="2915" t="s">
        <v>481</v>
      </c>
      <c r="B160" s="2924" t="s">
        <v>482</v>
      </c>
      <c r="C160" s="2939"/>
      <c r="D160" s="459"/>
      <c r="E160" s="430"/>
      <c r="F160" s="430"/>
      <c r="G160" s="436"/>
    </row>
    <row r="161" spans="1:7" ht="24" hidden="1" x14ac:dyDescent="0.2">
      <c r="A161" s="2915" t="s">
        <v>483</v>
      </c>
      <c r="B161" s="2924" t="s">
        <v>484</v>
      </c>
      <c r="C161" s="2939"/>
      <c r="D161" s="459"/>
      <c r="E161" s="430"/>
      <c r="F161" s="430"/>
      <c r="G161" s="436"/>
    </row>
    <row r="162" spans="1:7" ht="15" hidden="1" x14ac:dyDescent="0.2">
      <c r="A162" s="2915" t="s">
        <v>1182</v>
      </c>
      <c r="B162" s="2924" t="s">
        <v>832</v>
      </c>
      <c r="C162" s="2939">
        <f>C165</f>
        <v>-117659</v>
      </c>
      <c r="D162" s="460" t="e">
        <f>D165</f>
        <v>#REF!</v>
      </c>
      <c r="E162" s="425" t="e">
        <f>E165</f>
        <v>#REF!</v>
      </c>
      <c r="F162" s="425" t="e">
        <f>F165</f>
        <v>#REF!</v>
      </c>
      <c r="G162" s="354" t="e">
        <f>G165</f>
        <v>#REF!</v>
      </c>
    </row>
    <row r="163" spans="1:7" ht="24" hidden="1" x14ac:dyDescent="0.2">
      <c r="A163" s="2915" t="s">
        <v>485</v>
      </c>
      <c r="B163" s="2924" t="s">
        <v>486</v>
      </c>
      <c r="C163" s="2939"/>
      <c r="D163" s="459"/>
      <c r="E163" s="430"/>
      <c r="F163" s="430"/>
      <c r="G163" s="436"/>
    </row>
    <row r="164" spans="1:7" ht="24" hidden="1" x14ac:dyDescent="0.2">
      <c r="A164" s="2915" t="s">
        <v>487</v>
      </c>
      <c r="B164" s="2924" t="s">
        <v>798</v>
      </c>
      <c r="C164" s="2939"/>
      <c r="D164" s="459"/>
      <c r="E164" s="430"/>
      <c r="F164" s="430"/>
      <c r="G164" s="436"/>
    </row>
    <row r="165" spans="1:7" ht="39" customHeight="1" x14ac:dyDescent="0.2">
      <c r="A165" s="2915" t="s">
        <v>1463</v>
      </c>
      <c r="B165" s="2924" t="s">
        <v>1574</v>
      </c>
      <c r="C165" s="2939">
        <f>-кв!D108</f>
        <v>-117659</v>
      </c>
      <c r="D165" s="459" t="e">
        <f>ДОХ.Пр.1!F104</f>
        <v>#REF!</v>
      </c>
      <c r="E165" s="430" t="e">
        <f>ДОХ.Пр.1!G104</f>
        <v>#REF!</v>
      </c>
      <c r="F165" s="430" t="e">
        <f>ДОХ.Пр.1!H104</f>
        <v>#REF!</v>
      </c>
      <c r="G165" s="436" t="e">
        <f>ДОХ.Пр.1!I104</f>
        <v>#REF!</v>
      </c>
    </row>
    <row r="166" spans="1:7" ht="24" hidden="1" x14ac:dyDescent="0.2">
      <c r="A166" s="2915" t="s">
        <v>799</v>
      </c>
      <c r="B166" s="2924" t="s">
        <v>474</v>
      </c>
      <c r="C166" s="2938"/>
      <c r="D166" s="459"/>
      <c r="E166" s="430"/>
      <c r="F166" s="430"/>
      <c r="G166" s="436"/>
    </row>
    <row r="167" spans="1:7" ht="36" hidden="1" x14ac:dyDescent="0.2">
      <c r="A167" s="2915" t="s">
        <v>475</v>
      </c>
      <c r="B167" s="2924" t="s">
        <v>478</v>
      </c>
      <c r="C167" s="2938"/>
      <c r="D167" s="459"/>
      <c r="E167" s="430"/>
      <c r="F167" s="430"/>
      <c r="G167" s="436"/>
    </row>
    <row r="168" spans="1:7" ht="36" hidden="1" x14ac:dyDescent="0.2">
      <c r="A168" s="2915" t="s">
        <v>479</v>
      </c>
      <c r="B168" s="2924" t="s">
        <v>846</v>
      </c>
      <c r="C168" s="2938"/>
      <c r="D168" s="459"/>
      <c r="E168" s="430"/>
      <c r="F168" s="430"/>
      <c r="G168" s="436"/>
    </row>
    <row r="169" spans="1:7" ht="36" hidden="1" x14ac:dyDescent="0.2">
      <c r="A169" s="2915" t="s">
        <v>847</v>
      </c>
      <c r="B169" s="2924" t="s">
        <v>848</v>
      </c>
      <c r="C169" s="2938"/>
      <c r="D169" s="459"/>
      <c r="E169" s="430"/>
      <c r="F169" s="430"/>
      <c r="G169" s="436"/>
    </row>
    <row r="170" spans="1:7" ht="48" hidden="1" x14ac:dyDescent="0.2">
      <c r="A170" s="2915" t="s">
        <v>849</v>
      </c>
      <c r="B170" s="2924" t="s">
        <v>423</v>
      </c>
      <c r="C170" s="2938"/>
      <c r="D170" s="459"/>
      <c r="E170" s="430"/>
      <c r="F170" s="430"/>
      <c r="G170" s="436"/>
    </row>
    <row r="171" spans="1:7" ht="60" hidden="1" x14ac:dyDescent="0.2">
      <c r="A171" s="2915" t="s">
        <v>424</v>
      </c>
      <c r="B171" s="2924" t="s">
        <v>941</v>
      </c>
      <c r="C171" s="2938"/>
      <c r="D171" s="459"/>
      <c r="E171" s="430"/>
      <c r="F171" s="430"/>
      <c r="G171" s="436"/>
    </row>
    <row r="172" spans="1:7" ht="36" hidden="1" x14ac:dyDescent="0.2">
      <c r="A172" s="2915" t="s">
        <v>942</v>
      </c>
      <c r="B172" s="2924" t="s">
        <v>943</v>
      </c>
      <c r="C172" s="2938"/>
      <c r="D172" s="459"/>
      <c r="E172" s="430"/>
      <c r="F172" s="430"/>
      <c r="G172" s="436"/>
    </row>
    <row r="173" spans="1:7" ht="36" hidden="1" x14ac:dyDescent="0.2">
      <c r="A173" s="2915" t="s">
        <v>944</v>
      </c>
      <c r="B173" s="2924" t="s">
        <v>551</v>
      </c>
      <c r="C173" s="2938"/>
      <c r="D173" s="459"/>
      <c r="E173" s="430"/>
      <c r="F173" s="430"/>
      <c r="G173" s="436"/>
    </row>
    <row r="174" spans="1:7" ht="14.25" hidden="1" x14ac:dyDescent="0.2">
      <c r="A174" s="2920" t="s">
        <v>1183</v>
      </c>
      <c r="B174" s="2928" t="s">
        <v>552</v>
      </c>
      <c r="C174" s="2937">
        <f>C196</f>
        <v>124659</v>
      </c>
      <c r="D174" s="458" t="e">
        <f>D196</f>
        <v>#REF!</v>
      </c>
      <c r="E174" s="424" t="e">
        <f>E196</f>
        <v>#REF!</v>
      </c>
      <c r="F174" s="424" t="e">
        <f>F196</f>
        <v>#REF!</v>
      </c>
      <c r="G174" s="353" t="e">
        <f>G196</f>
        <v>#REF!</v>
      </c>
    </row>
    <row r="175" spans="1:7" ht="14.25" hidden="1" x14ac:dyDescent="0.2">
      <c r="A175" s="2915" t="s">
        <v>250</v>
      </c>
      <c r="B175" s="2924" t="s">
        <v>553</v>
      </c>
      <c r="C175" s="2938"/>
      <c r="D175" s="459"/>
      <c r="E175" s="430"/>
      <c r="F175" s="430"/>
      <c r="G175" s="436"/>
    </row>
    <row r="176" spans="1:7" ht="14.25" hidden="1" x14ac:dyDescent="0.2">
      <c r="A176" s="2915" t="s">
        <v>252</v>
      </c>
      <c r="B176" s="2924" t="s">
        <v>556</v>
      </c>
      <c r="C176" s="2938"/>
      <c r="D176" s="459"/>
      <c r="E176" s="430"/>
      <c r="F176" s="430"/>
      <c r="G176" s="436"/>
    </row>
    <row r="177" spans="1:7" ht="24" hidden="1" x14ac:dyDescent="0.2">
      <c r="A177" s="2915" t="s">
        <v>254</v>
      </c>
      <c r="B177" s="2924" t="s">
        <v>559</v>
      </c>
      <c r="C177" s="2938"/>
      <c r="D177" s="459"/>
      <c r="E177" s="430"/>
      <c r="F177" s="430"/>
      <c r="G177" s="436"/>
    </row>
    <row r="178" spans="1:7" ht="24" hidden="1" x14ac:dyDescent="0.2">
      <c r="A178" s="2915" t="s">
        <v>354</v>
      </c>
      <c r="B178" s="2924" t="s">
        <v>560</v>
      </c>
      <c r="C178" s="2938"/>
      <c r="D178" s="459"/>
      <c r="E178" s="430"/>
      <c r="F178" s="430"/>
      <c r="G178" s="436"/>
    </row>
    <row r="179" spans="1:7" ht="24" hidden="1" x14ac:dyDescent="0.2">
      <c r="A179" s="2915" t="s">
        <v>356</v>
      </c>
      <c r="B179" s="2924" t="s">
        <v>561</v>
      </c>
      <c r="C179" s="2938"/>
      <c r="D179" s="459"/>
      <c r="E179" s="430"/>
      <c r="F179" s="430"/>
      <c r="G179" s="436"/>
    </row>
    <row r="180" spans="1:7" ht="24" hidden="1" x14ac:dyDescent="0.2">
      <c r="A180" s="2915" t="s">
        <v>340</v>
      </c>
      <c r="B180" s="2924" t="s">
        <v>562</v>
      </c>
      <c r="C180" s="2938"/>
      <c r="D180" s="459"/>
      <c r="E180" s="430"/>
      <c r="F180" s="430"/>
      <c r="G180" s="436"/>
    </row>
    <row r="181" spans="1:7" ht="24" hidden="1" x14ac:dyDescent="0.2">
      <c r="A181" s="2915" t="s">
        <v>342</v>
      </c>
      <c r="B181" s="2924" t="s">
        <v>563</v>
      </c>
      <c r="C181" s="2938"/>
      <c r="D181" s="459"/>
      <c r="E181" s="430"/>
      <c r="F181" s="430"/>
      <c r="G181" s="436"/>
    </row>
    <row r="182" spans="1:7" ht="24" hidden="1" x14ac:dyDescent="0.2">
      <c r="A182" s="2915" t="s">
        <v>756</v>
      </c>
      <c r="B182" s="2924" t="s">
        <v>564</v>
      </c>
      <c r="C182" s="2938"/>
      <c r="D182" s="459"/>
      <c r="E182" s="430"/>
      <c r="F182" s="430"/>
      <c r="G182" s="436"/>
    </row>
    <row r="183" spans="1:7" ht="36" hidden="1" x14ac:dyDescent="0.2">
      <c r="A183" s="2915" t="s">
        <v>758</v>
      </c>
      <c r="B183" s="2924" t="s">
        <v>565</v>
      </c>
      <c r="C183" s="2938"/>
      <c r="D183" s="459"/>
      <c r="E183" s="430"/>
      <c r="F183" s="430"/>
      <c r="G183" s="436"/>
    </row>
    <row r="184" spans="1:7" ht="24" hidden="1" x14ac:dyDescent="0.2">
      <c r="A184" s="2915" t="s">
        <v>760</v>
      </c>
      <c r="B184" s="2924" t="s">
        <v>894</v>
      </c>
      <c r="C184" s="2938"/>
      <c r="D184" s="459"/>
      <c r="E184" s="430"/>
      <c r="F184" s="430"/>
      <c r="G184" s="436"/>
    </row>
    <row r="185" spans="1:7" ht="24" hidden="1" x14ac:dyDescent="0.2">
      <c r="A185" s="2915" t="s">
        <v>762</v>
      </c>
      <c r="B185" s="2924" t="s">
        <v>895</v>
      </c>
      <c r="C185" s="2938"/>
      <c r="D185" s="459"/>
      <c r="E185" s="430"/>
      <c r="F185" s="430"/>
      <c r="G185" s="436"/>
    </row>
    <row r="186" spans="1:7" ht="36" hidden="1" x14ac:dyDescent="0.2">
      <c r="A186" s="2915" t="s">
        <v>764</v>
      </c>
      <c r="B186" s="2924" t="s">
        <v>896</v>
      </c>
      <c r="C186" s="2938"/>
      <c r="D186" s="459"/>
      <c r="E186" s="430"/>
      <c r="F186" s="430"/>
      <c r="G186" s="436"/>
    </row>
    <row r="187" spans="1:7" ht="24" hidden="1" x14ac:dyDescent="0.2">
      <c r="A187" s="2915" t="s">
        <v>766</v>
      </c>
      <c r="B187" s="2924" t="s">
        <v>897</v>
      </c>
      <c r="C187" s="2938"/>
      <c r="D187" s="459"/>
      <c r="E187" s="430"/>
      <c r="F187" s="430"/>
      <c r="G187" s="436"/>
    </row>
    <row r="188" spans="1:7" ht="24" hidden="1" x14ac:dyDescent="0.2">
      <c r="A188" s="2915" t="s">
        <v>768</v>
      </c>
      <c r="B188" s="2924" t="s">
        <v>898</v>
      </c>
      <c r="C188" s="2938"/>
      <c r="D188" s="459"/>
      <c r="E188" s="430"/>
      <c r="F188" s="430"/>
      <c r="G188" s="436"/>
    </row>
    <row r="189" spans="1:7" ht="24" hidden="1" x14ac:dyDescent="0.2">
      <c r="A189" s="2915" t="s">
        <v>770</v>
      </c>
      <c r="B189" s="2924" t="s">
        <v>901</v>
      </c>
      <c r="C189" s="2938"/>
      <c r="D189" s="459"/>
      <c r="E189" s="430"/>
      <c r="F189" s="430"/>
      <c r="G189" s="436"/>
    </row>
    <row r="190" spans="1:7" ht="24" hidden="1" x14ac:dyDescent="0.2">
      <c r="A190" s="2915" t="s">
        <v>373</v>
      </c>
      <c r="B190" s="2924" t="s">
        <v>904</v>
      </c>
      <c r="C190" s="2938"/>
      <c r="D190" s="459"/>
      <c r="E190" s="430"/>
      <c r="F190" s="430"/>
      <c r="G190" s="436"/>
    </row>
    <row r="191" spans="1:7" ht="24" hidden="1" x14ac:dyDescent="0.2">
      <c r="A191" s="2915" t="s">
        <v>408</v>
      </c>
      <c r="B191" s="2924" t="s">
        <v>905</v>
      </c>
      <c r="C191" s="2938"/>
      <c r="D191" s="459"/>
      <c r="E191" s="430"/>
      <c r="F191" s="430"/>
      <c r="G191" s="436"/>
    </row>
    <row r="192" spans="1:7" ht="36" hidden="1" x14ac:dyDescent="0.2">
      <c r="A192" s="2915" t="s">
        <v>410</v>
      </c>
      <c r="B192" s="2924" t="s">
        <v>906</v>
      </c>
      <c r="C192" s="2938"/>
      <c r="D192" s="459"/>
      <c r="E192" s="430"/>
      <c r="F192" s="430"/>
      <c r="G192" s="436"/>
    </row>
    <row r="193" spans="1:7" ht="36" hidden="1" x14ac:dyDescent="0.2">
      <c r="A193" s="2915" t="s">
        <v>824</v>
      </c>
      <c r="B193" s="2924" t="s">
        <v>908</v>
      </c>
      <c r="C193" s="2938"/>
      <c r="D193" s="459"/>
      <c r="E193" s="430"/>
      <c r="F193" s="430"/>
      <c r="G193" s="436"/>
    </row>
    <row r="194" spans="1:7" ht="36" hidden="1" x14ac:dyDescent="0.2">
      <c r="A194" s="2915" t="s">
        <v>826</v>
      </c>
      <c r="B194" s="2924" t="s">
        <v>912</v>
      </c>
      <c r="C194" s="2938"/>
      <c r="D194" s="459"/>
      <c r="E194" s="430"/>
      <c r="F194" s="430"/>
      <c r="G194" s="436"/>
    </row>
    <row r="195" spans="1:7" ht="36" hidden="1" x14ac:dyDescent="0.2">
      <c r="A195" s="2915" t="s">
        <v>828</v>
      </c>
      <c r="B195" s="2924" t="s">
        <v>852</v>
      </c>
      <c r="C195" s="2938"/>
      <c r="D195" s="459"/>
      <c r="E195" s="430"/>
      <c r="F195" s="430"/>
      <c r="G195" s="436"/>
    </row>
    <row r="196" spans="1:7" ht="15" hidden="1" x14ac:dyDescent="0.2">
      <c r="A196" s="2915" t="s">
        <v>1184</v>
      </c>
      <c r="B196" s="2924" t="s">
        <v>864</v>
      </c>
      <c r="C196" s="2939">
        <f>C210</f>
        <v>124659</v>
      </c>
      <c r="D196" s="460" t="e">
        <f>D210</f>
        <v>#REF!</v>
      </c>
      <c r="E196" s="425" t="e">
        <f>E210</f>
        <v>#REF!</v>
      </c>
      <c r="F196" s="425" t="e">
        <f>F210</f>
        <v>#REF!</v>
      </c>
      <c r="G196" s="354" t="e">
        <f>G210</f>
        <v>#REF!</v>
      </c>
    </row>
    <row r="197" spans="1:7" ht="15" hidden="1" x14ac:dyDescent="0.2">
      <c r="A197" s="2915" t="s">
        <v>831</v>
      </c>
      <c r="B197" s="2924" t="s">
        <v>865</v>
      </c>
      <c r="C197" s="2939"/>
      <c r="D197" s="459"/>
      <c r="E197" s="430"/>
      <c r="F197" s="430"/>
      <c r="G197" s="436"/>
    </row>
    <row r="198" spans="1:7" ht="15" hidden="1" x14ac:dyDescent="0.2">
      <c r="A198" s="2915" t="s">
        <v>833</v>
      </c>
      <c r="B198" s="2924" t="s">
        <v>866</v>
      </c>
      <c r="C198" s="2939"/>
      <c r="D198" s="459"/>
      <c r="E198" s="430"/>
      <c r="F198" s="430"/>
      <c r="G198" s="436"/>
    </row>
    <row r="199" spans="1:7" ht="24" hidden="1" x14ac:dyDescent="0.2">
      <c r="A199" s="2915" t="s">
        <v>835</v>
      </c>
      <c r="B199" s="2924" t="s">
        <v>1</v>
      </c>
      <c r="C199" s="2939"/>
      <c r="D199" s="459"/>
      <c r="E199" s="430"/>
      <c r="F199" s="430"/>
      <c r="G199" s="436"/>
    </row>
    <row r="200" spans="1:7" ht="15" hidden="1" x14ac:dyDescent="0.2">
      <c r="A200" s="2915" t="s">
        <v>837</v>
      </c>
      <c r="B200" s="2924" t="s">
        <v>2</v>
      </c>
      <c r="C200" s="2939"/>
      <c r="D200" s="459"/>
      <c r="E200" s="430"/>
      <c r="F200" s="430"/>
      <c r="G200" s="436"/>
    </row>
    <row r="201" spans="1:7" ht="24" hidden="1" x14ac:dyDescent="0.2">
      <c r="A201" s="2915" t="s">
        <v>839</v>
      </c>
      <c r="B201" s="2924" t="s">
        <v>3</v>
      </c>
      <c r="C201" s="2939"/>
      <c r="D201" s="459"/>
      <c r="E201" s="430"/>
      <c r="F201" s="430"/>
      <c r="G201" s="436"/>
    </row>
    <row r="202" spans="1:7" ht="24" hidden="1" x14ac:dyDescent="0.2">
      <c r="A202" s="2915" t="s">
        <v>841</v>
      </c>
      <c r="B202" s="2924" t="s">
        <v>4</v>
      </c>
      <c r="C202" s="2939"/>
      <c r="D202" s="459"/>
      <c r="E202" s="430"/>
      <c r="F202" s="430"/>
      <c r="G202" s="436"/>
    </row>
    <row r="203" spans="1:7" ht="36" hidden="1" x14ac:dyDescent="0.2">
      <c r="A203" s="2915" t="s">
        <v>843</v>
      </c>
      <c r="B203" s="2924" t="s">
        <v>19</v>
      </c>
      <c r="C203" s="2939"/>
      <c r="D203" s="459"/>
      <c r="E203" s="430"/>
      <c r="F203" s="430"/>
      <c r="G203" s="436"/>
    </row>
    <row r="204" spans="1:7" ht="36" hidden="1" x14ac:dyDescent="0.2">
      <c r="A204" s="2915" t="s">
        <v>432</v>
      </c>
      <c r="B204" s="2924" t="s">
        <v>78</v>
      </c>
      <c r="C204" s="2939"/>
      <c r="D204" s="459"/>
      <c r="E204" s="430"/>
      <c r="F204" s="430"/>
      <c r="G204" s="436"/>
    </row>
    <row r="205" spans="1:7" ht="24" hidden="1" x14ac:dyDescent="0.2">
      <c r="A205" s="2915" t="s">
        <v>434</v>
      </c>
      <c r="B205" s="2924" t="s">
        <v>79</v>
      </c>
      <c r="C205" s="2939"/>
      <c r="D205" s="459"/>
      <c r="E205" s="430"/>
      <c r="F205" s="430"/>
      <c r="G205" s="436"/>
    </row>
    <row r="206" spans="1:7" ht="36" hidden="1" x14ac:dyDescent="0.2">
      <c r="A206" s="2915" t="s">
        <v>436</v>
      </c>
      <c r="B206" s="2924" t="s">
        <v>80</v>
      </c>
      <c r="C206" s="2939"/>
      <c r="D206" s="459"/>
      <c r="E206" s="430"/>
      <c r="F206" s="430"/>
      <c r="G206" s="436"/>
    </row>
    <row r="207" spans="1:7" ht="48" hidden="1" x14ac:dyDescent="0.2">
      <c r="A207" s="2915" t="s">
        <v>447</v>
      </c>
      <c r="B207" s="2924" t="s">
        <v>106</v>
      </c>
      <c r="C207" s="2939"/>
      <c r="D207" s="459"/>
      <c r="E207" s="430"/>
      <c r="F207" s="430"/>
      <c r="G207" s="436"/>
    </row>
    <row r="208" spans="1:7" ht="24" hidden="1" x14ac:dyDescent="0.2">
      <c r="A208" s="2915" t="s">
        <v>481</v>
      </c>
      <c r="B208" s="2924" t="s">
        <v>55</v>
      </c>
      <c r="C208" s="2939"/>
      <c r="D208" s="459"/>
      <c r="E208" s="430"/>
      <c r="F208" s="430"/>
      <c r="G208" s="436"/>
    </row>
    <row r="209" spans="1:7" ht="24" hidden="1" x14ac:dyDescent="0.2">
      <c r="A209" s="2915" t="s">
        <v>483</v>
      </c>
      <c r="B209" s="2924" t="s">
        <v>56</v>
      </c>
      <c r="C209" s="2939"/>
      <c r="D209" s="459"/>
      <c r="E209" s="430"/>
      <c r="F209" s="430"/>
      <c r="G209" s="436"/>
    </row>
    <row r="210" spans="1:7" ht="15" hidden="1" x14ac:dyDescent="0.2">
      <c r="A210" s="2915" t="s">
        <v>1185</v>
      </c>
      <c r="B210" s="2924" t="s">
        <v>865</v>
      </c>
      <c r="C210" s="2939">
        <f>C213</f>
        <v>124659</v>
      </c>
      <c r="D210" s="460" t="e">
        <f>D213</f>
        <v>#REF!</v>
      </c>
      <c r="E210" s="425" t="e">
        <f>E213</f>
        <v>#REF!</v>
      </c>
      <c r="F210" s="425" t="e">
        <f>F213</f>
        <v>#REF!</v>
      </c>
      <c r="G210" s="354" t="e">
        <f>G213</f>
        <v>#REF!</v>
      </c>
    </row>
    <row r="211" spans="1:7" ht="24" hidden="1" x14ac:dyDescent="0.2">
      <c r="A211" s="2915" t="s">
        <v>485</v>
      </c>
      <c r="B211" s="2924" t="s">
        <v>486</v>
      </c>
      <c r="C211" s="2939"/>
      <c r="D211" s="459"/>
      <c r="E211" s="430"/>
      <c r="F211" s="430"/>
      <c r="G211" s="436"/>
    </row>
    <row r="212" spans="1:7" ht="24" hidden="1" x14ac:dyDescent="0.2">
      <c r="A212" s="2915" t="s">
        <v>487</v>
      </c>
      <c r="B212" s="2924" t="s">
        <v>798</v>
      </c>
      <c r="C212" s="2939"/>
      <c r="D212" s="459"/>
      <c r="E212" s="430"/>
      <c r="F212" s="430"/>
      <c r="G212" s="436"/>
    </row>
    <row r="213" spans="1:7" ht="37.5" customHeight="1" thickBot="1" x14ac:dyDescent="0.25">
      <c r="A213" s="2921" t="s">
        <v>1464</v>
      </c>
      <c r="B213" s="42" t="s">
        <v>1575</v>
      </c>
      <c r="C213" s="2940">
        <f>Бюд.р.!H601</f>
        <v>124659</v>
      </c>
      <c r="D213" s="461" t="e">
        <f>'ВЕД.СТ Пр.2.'!J190</f>
        <v>#REF!</v>
      </c>
      <c r="E213" s="437" t="e">
        <f>'ВЕД.СТ Пр.2.'!K190</f>
        <v>#REF!</v>
      </c>
      <c r="F213" s="437" t="e">
        <f>'ВЕД.СТ Пр.2.'!L190</f>
        <v>#REF!</v>
      </c>
      <c r="G213" s="438" t="e">
        <f>'ВЕД.СТ Пр.2.'!M190</f>
        <v>#REF!</v>
      </c>
    </row>
    <row r="214" spans="1:7" ht="15" thickBot="1" x14ac:dyDescent="0.25">
      <c r="A214" s="645"/>
      <c r="B214" s="2929" t="s">
        <v>443</v>
      </c>
      <c r="C214" s="2941">
        <f>C124</f>
        <v>7000</v>
      </c>
    </row>
  </sheetData>
  <mergeCells count="16">
    <mergeCell ref="B10:C10"/>
    <mergeCell ref="B11:C11"/>
    <mergeCell ref="B12:C12"/>
    <mergeCell ref="B7:C7"/>
    <mergeCell ref="B8:C8"/>
    <mergeCell ref="B9:C9"/>
    <mergeCell ref="B2:C2"/>
    <mergeCell ref="B1:C1"/>
    <mergeCell ref="A16:C16"/>
    <mergeCell ref="A13:C13"/>
    <mergeCell ref="A14:C14"/>
    <mergeCell ref="A15:C15"/>
    <mergeCell ref="B3:C3"/>
    <mergeCell ref="B4:C4"/>
    <mergeCell ref="B5:C5"/>
    <mergeCell ref="B6:C6"/>
  </mergeCells>
  <phoneticPr fontId="11" type="noConversion"/>
  <pageMargins left="0.98" right="0" top="0.98425196850393704" bottom="3.9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5"/>
  <sheetViews>
    <sheetView topLeftCell="B577" zoomScale="88" zoomScaleNormal="88" workbookViewId="0">
      <selection activeCell="D114" sqref="A114:L601"/>
    </sheetView>
  </sheetViews>
  <sheetFormatPr defaultRowHeight="12.75" x14ac:dyDescent="0.2"/>
  <cols>
    <col min="1" max="1" width="76" customWidth="1"/>
    <col min="2" max="2" width="5" customWidth="1"/>
    <col min="3" max="3" width="6.7109375" customWidth="1"/>
    <col min="4" max="4" width="11.5703125" customWidth="1"/>
    <col min="5" max="5" width="5.42578125" hidden="1" customWidth="1"/>
    <col min="6" max="6" width="5.42578125" customWidth="1"/>
    <col min="7" max="7" width="5" customWidth="1"/>
    <col min="8" max="8" width="12.140625" customWidth="1"/>
    <col min="9" max="9" width="10.85546875" customWidth="1"/>
    <col min="10" max="10" width="10.7109375" customWidth="1"/>
    <col min="11" max="11" width="10.85546875" customWidth="1"/>
    <col min="12" max="12" width="11" customWidth="1"/>
    <col min="13" max="13" width="10.7109375" bestFit="1" customWidth="1"/>
    <col min="14" max="14" width="11.140625" bestFit="1" customWidth="1"/>
  </cols>
  <sheetData>
    <row r="1" spans="1:14" hidden="1" x14ac:dyDescent="0.2">
      <c r="D1" s="2979" t="s">
        <v>1436</v>
      </c>
      <c r="E1" s="2979"/>
      <c r="F1" s="2979"/>
      <c r="G1" s="2979"/>
      <c r="H1" s="2979"/>
      <c r="I1" s="2979"/>
      <c r="J1" s="2979"/>
      <c r="K1" s="2979"/>
      <c r="L1" s="2979"/>
    </row>
    <row r="2" spans="1:14" hidden="1" x14ac:dyDescent="0.2">
      <c r="D2" s="2979" t="s">
        <v>1450</v>
      </c>
      <c r="E2" s="2979"/>
      <c r="F2" s="2979"/>
      <c r="G2" s="2979"/>
      <c r="H2" s="2979"/>
      <c r="I2" s="2979"/>
      <c r="J2" s="2979"/>
      <c r="K2" s="2979"/>
      <c r="L2" s="2979"/>
    </row>
    <row r="3" spans="1:14" ht="15" hidden="1" x14ac:dyDescent="0.25">
      <c r="A3" s="3046" t="s">
        <v>104</v>
      </c>
      <c r="B3" s="3046"/>
      <c r="C3" s="3046"/>
      <c r="D3" s="3046"/>
      <c r="E3" s="3046"/>
      <c r="F3" s="3046"/>
      <c r="G3" s="3046"/>
      <c r="H3" s="3046"/>
      <c r="I3" s="3046"/>
      <c r="J3" s="3046"/>
      <c r="K3" s="3046"/>
      <c r="L3" s="3046"/>
    </row>
    <row r="4" spans="1:14" ht="15.75" hidden="1" thickBot="1" x14ac:dyDescent="0.3">
      <c r="A4" s="3046" t="s">
        <v>1305</v>
      </c>
      <c r="B4" s="3046"/>
      <c r="C4" s="3046"/>
      <c r="D4" s="3046"/>
      <c r="E4" s="3046"/>
      <c r="F4" s="3046"/>
      <c r="G4" s="3046"/>
      <c r="H4" s="3046"/>
      <c r="I4" s="3046"/>
      <c r="J4" s="3046"/>
      <c r="K4" s="3046"/>
      <c r="L4" s="3046"/>
    </row>
    <row r="5" spans="1:14" ht="57" hidden="1" thickBot="1" x14ac:dyDescent="0.25">
      <c r="A5" s="469" t="s">
        <v>273</v>
      </c>
      <c r="B5" s="470" t="s">
        <v>498</v>
      </c>
      <c r="C5" s="470" t="s">
        <v>286</v>
      </c>
      <c r="D5" s="470" t="s">
        <v>284</v>
      </c>
      <c r="E5" s="470" t="s">
        <v>121</v>
      </c>
      <c r="F5" s="470" t="s">
        <v>121</v>
      </c>
      <c r="G5" s="476" t="s">
        <v>376</v>
      </c>
      <c r="H5" s="483" t="s">
        <v>322</v>
      </c>
      <c r="I5" s="483" t="s">
        <v>930</v>
      </c>
      <c r="J5" s="639" t="s">
        <v>931</v>
      </c>
      <c r="K5" s="483" t="s">
        <v>913</v>
      </c>
      <c r="L5" s="758" t="s">
        <v>914</v>
      </c>
    </row>
    <row r="6" spans="1:14" ht="13.5" hidden="1" thickBot="1" x14ac:dyDescent="0.25">
      <c r="A6" s="471">
        <v>1</v>
      </c>
      <c r="B6" s="472">
        <v>2</v>
      </c>
      <c r="C6" s="472">
        <v>3</v>
      </c>
      <c r="D6" s="472">
        <v>4</v>
      </c>
      <c r="E6" s="472">
        <v>5</v>
      </c>
      <c r="F6" s="477">
        <v>5</v>
      </c>
      <c r="G6" s="477">
        <v>6</v>
      </c>
      <c r="H6" s="484">
        <v>7</v>
      </c>
      <c r="I6" s="484">
        <v>8</v>
      </c>
      <c r="J6" s="640">
        <v>9</v>
      </c>
      <c r="K6" s="484">
        <v>10</v>
      </c>
      <c r="L6" s="759">
        <v>11</v>
      </c>
    </row>
    <row r="7" spans="1:14" ht="13.5" hidden="1" thickBot="1" x14ac:dyDescent="0.25">
      <c r="A7" s="176" t="s">
        <v>1306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1262"/>
    </row>
    <row r="8" spans="1:14" ht="15.75" hidden="1" thickBot="1" x14ac:dyDescent="0.25">
      <c r="A8" s="747" t="s">
        <v>122</v>
      </c>
      <c r="B8" s="748">
        <v>917</v>
      </c>
      <c r="C8" s="748">
        <v>100</v>
      </c>
      <c r="D8" s="748"/>
      <c r="E8" s="748"/>
      <c r="F8" s="749"/>
      <c r="G8" s="749"/>
      <c r="H8" s="750">
        <f t="shared" ref="H8:H29" si="0">SUM(I8:L8)</f>
        <v>0</v>
      </c>
      <c r="I8" s="750">
        <f>I9</f>
        <v>0</v>
      </c>
      <c r="J8" s="750">
        <f>J9</f>
        <v>0</v>
      </c>
      <c r="K8" s="750">
        <f>K9</f>
        <v>0</v>
      </c>
      <c r="L8" s="750">
        <f>L9</f>
        <v>0</v>
      </c>
    </row>
    <row r="9" spans="1:14" hidden="1" x14ac:dyDescent="0.2">
      <c r="A9" s="752" t="s">
        <v>28</v>
      </c>
      <c r="B9" s="744">
        <v>917</v>
      </c>
      <c r="C9" s="744">
        <v>107</v>
      </c>
      <c r="D9" s="744"/>
      <c r="E9" s="744"/>
      <c r="F9" s="745"/>
      <c r="G9" s="745"/>
      <c r="H9" s="746">
        <f t="shared" si="0"/>
        <v>0</v>
      </c>
      <c r="I9" s="746">
        <f>I11</f>
        <v>0</v>
      </c>
      <c r="J9" s="1817">
        <f>J10</f>
        <v>0</v>
      </c>
      <c r="K9" s="778">
        <f>K11</f>
        <v>0</v>
      </c>
      <c r="L9" s="1818">
        <f>L11</f>
        <v>0</v>
      </c>
    </row>
    <row r="10" spans="1:14" ht="14.25" hidden="1" customHeight="1" x14ac:dyDescent="0.2">
      <c r="A10" s="1812" t="s">
        <v>1316</v>
      </c>
      <c r="B10" s="1813">
        <v>917</v>
      </c>
      <c r="C10" s="1813">
        <v>107</v>
      </c>
      <c r="D10" s="1813" t="s">
        <v>1315</v>
      </c>
      <c r="E10" s="1813"/>
      <c r="F10" s="1814"/>
      <c r="G10" s="1814"/>
      <c r="H10" s="1819">
        <f t="shared" si="0"/>
        <v>0</v>
      </c>
      <c r="I10" s="1819">
        <f>I11+I26</f>
        <v>0</v>
      </c>
      <c r="J10" s="1819">
        <f>J11+J26</f>
        <v>0</v>
      </c>
      <c r="K10" s="1819">
        <f>K11+K26</f>
        <v>0</v>
      </c>
      <c r="L10" s="1819">
        <f>L11+L26</f>
        <v>0</v>
      </c>
    </row>
    <row r="11" spans="1:14" hidden="1" x14ac:dyDescent="0.2">
      <c r="A11" s="487" t="s">
        <v>161</v>
      </c>
      <c r="B11" s="159">
        <v>917</v>
      </c>
      <c r="C11" s="159">
        <v>107</v>
      </c>
      <c r="D11" s="159" t="s">
        <v>162</v>
      </c>
      <c r="E11" s="159"/>
      <c r="F11" s="489"/>
      <c r="G11" s="489"/>
      <c r="H11" s="496">
        <f t="shared" si="0"/>
        <v>0</v>
      </c>
      <c r="I11" s="496">
        <f>I12+I15</f>
        <v>0</v>
      </c>
      <c r="J11" s="496">
        <f>J12+J15</f>
        <v>0</v>
      </c>
      <c r="K11" s="496">
        <f>K12+K15</f>
        <v>0</v>
      </c>
      <c r="L11" s="496">
        <f>L12+L15</f>
        <v>0</v>
      </c>
    </row>
    <row r="12" spans="1:14" ht="36" hidden="1" x14ac:dyDescent="0.2">
      <c r="A12" s="2098" t="s">
        <v>1359</v>
      </c>
      <c r="B12" s="830">
        <v>917</v>
      </c>
      <c r="C12" s="830">
        <v>107</v>
      </c>
      <c r="D12" s="830" t="s">
        <v>162</v>
      </c>
      <c r="E12" s="159"/>
      <c r="F12" s="489">
        <v>100</v>
      </c>
      <c r="G12" s="489"/>
      <c r="H12" s="496">
        <f>SUM(I12:L12)</f>
        <v>0</v>
      </c>
      <c r="I12" s="496">
        <f t="shared" ref="I12:L13" si="1">I13</f>
        <v>0</v>
      </c>
      <c r="J12" s="496">
        <f t="shared" si="1"/>
        <v>0</v>
      </c>
      <c r="K12" s="496">
        <f t="shared" si="1"/>
        <v>0</v>
      </c>
      <c r="L12" s="496">
        <f t="shared" si="1"/>
        <v>0</v>
      </c>
    </row>
    <row r="13" spans="1:14" ht="13.5" hidden="1" customHeight="1" x14ac:dyDescent="0.2">
      <c r="A13" s="1278" t="s">
        <v>1215</v>
      </c>
      <c r="B13" s="1820">
        <v>917</v>
      </c>
      <c r="C13" s="1820">
        <v>107</v>
      </c>
      <c r="D13" s="1820" t="s">
        <v>162</v>
      </c>
      <c r="E13" s="1820">
        <v>500</v>
      </c>
      <c r="F13" s="1821">
        <v>121</v>
      </c>
      <c r="G13" s="1821"/>
      <c r="H13" s="1788">
        <f t="shared" si="0"/>
        <v>0</v>
      </c>
      <c r="I13" s="1788">
        <f t="shared" si="1"/>
        <v>0</v>
      </c>
      <c r="J13" s="1788">
        <f t="shared" si="1"/>
        <v>0</v>
      </c>
      <c r="K13" s="1788">
        <f t="shared" si="1"/>
        <v>0</v>
      </c>
      <c r="L13" s="1788">
        <f t="shared" si="1"/>
        <v>0</v>
      </c>
    </row>
    <row r="14" spans="1:14" hidden="1" x14ac:dyDescent="0.2">
      <c r="A14" s="468" t="s">
        <v>125</v>
      </c>
      <c r="B14" s="475">
        <v>917</v>
      </c>
      <c r="C14" s="475">
        <v>107</v>
      </c>
      <c r="D14" s="475" t="s">
        <v>162</v>
      </c>
      <c r="E14" s="475">
        <v>500</v>
      </c>
      <c r="F14" s="481">
        <v>121</v>
      </c>
      <c r="G14" s="481">
        <v>211</v>
      </c>
      <c r="H14" s="492">
        <f t="shared" si="0"/>
        <v>0</v>
      </c>
      <c r="I14" s="492">
        <v>0</v>
      </c>
      <c r="J14" s="756">
        <v>0</v>
      </c>
      <c r="K14" s="492">
        <v>0</v>
      </c>
      <c r="L14" s="1764">
        <v>0</v>
      </c>
      <c r="M14" s="1811"/>
      <c r="N14" s="40"/>
    </row>
    <row r="15" spans="1:14" hidden="1" x14ac:dyDescent="0.2">
      <c r="A15" s="487" t="s">
        <v>1357</v>
      </c>
      <c r="B15" s="830">
        <v>917</v>
      </c>
      <c r="C15" s="830">
        <v>107</v>
      </c>
      <c r="D15" s="830" t="s">
        <v>1312</v>
      </c>
      <c r="E15" s="830">
        <v>500</v>
      </c>
      <c r="F15" s="2099">
        <v>200</v>
      </c>
      <c r="G15" s="2099"/>
      <c r="H15" s="821">
        <f>SUM(I15:L15)</f>
        <v>0</v>
      </c>
      <c r="I15" s="821">
        <f>I16</f>
        <v>0</v>
      </c>
      <c r="J15" s="821">
        <f>J16</f>
        <v>0</v>
      </c>
      <c r="K15" s="821">
        <f>K16</f>
        <v>0</v>
      </c>
      <c r="L15" s="821">
        <f>L16</f>
        <v>0</v>
      </c>
      <c r="M15" s="1811"/>
    </row>
    <row r="16" spans="1:14" hidden="1" x14ac:dyDescent="0.2">
      <c r="A16" s="1278" t="s">
        <v>1201</v>
      </c>
      <c r="B16" s="1285">
        <v>917</v>
      </c>
      <c r="C16" s="1285">
        <v>107</v>
      </c>
      <c r="D16" s="1285" t="s">
        <v>1312</v>
      </c>
      <c r="E16" s="1285">
        <v>500</v>
      </c>
      <c r="F16" s="1279">
        <v>244</v>
      </c>
      <c r="G16" s="1279"/>
      <c r="H16" s="1286">
        <f t="shared" si="0"/>
        <v>0</v>
      </c>
      <c r="I16" s="1286">
        <f>I17+I23</f>
        <v>0</v>
      </c>
      <c r="J16" s="1286">
        <f>J17+J23</f>
        <v>0</v>
      </c>
      <c r="K16" s="1286">
        <f>K17+K23</f>
        <v>0</v>
      </c>
      <c r="L16" s="1286">
        <f>L17+L23</f>
        <v>0</v>
      </c>
      <c r="M16" s="1811"/>
    </row>
    <row r="17" spans="1:12" hidden="1" x14ac:dyDescent="0.2">
      <c r="A17" s="465" t="s">
        <v>380</v>
      </c>
      <c r="B17" s="156">
        <v>917</v>
      </c>
      <c r="C17" s="156">
        <v>107</v>
      </c>
      <c r="D17" s="156" t="s">
        <v>162</v>
      </c>
      <c r="E17" s="156">
        <v>500</v>
      </c>
      <c r="F17" s="755">
        <v>244</v>
      </c>
      <c r="G17" s="479">
        <v>200</v>
      </c>
      <c r="H17" s="492">
        <f t="shared" si="0"/>
        <v>0</v>
      </c>
      <c r="I17" s="492">
        <f>I18</f>
        <v>0</v>
      </c>
      <c r="J17" s="492">
        <f>J18</f>
        <v>0</v>
      </c>
      <c r="K17" s="492">
        <f>K18</f>
        <v>0</v>
      </c>
      <c r="L17" s="492">
        <f>L18</f>
        <v>0</v>
      </c>
    </row>
    <row r="18" spans="1:12" hidden="1" x14ac:dyDescent="0.2">
      <c r="A18" s="467" t="s">
        <v>381</v>
      </c>
      <c r="B18" s="474">
        <v>968</v>
      </c>
      <c r="C18" s="474">
        <v>107</v>
      </c>
      <c r="D18" s="474" t="s">
        <v>162</v>
      </c>
      <c r="E18" s="474">
        <v>500</v>
      </c>
      <c r="F18" s="480">
        <v>244</v>
      </c>
      <c r="G18" s="480">
        <v>220</v>
      </c>
      <c r="H18" s="1806">
        <f t="shared" si="0"/>
        <v>0</v>
      </c>
      <c r="I18" s="1806">
        <f>SUM(I19:I22)</f>
        <v>0</v>
      </c>
      <c r="J18" s="1806">
        <f>SUM(J19:J22)</f>
        <v>0</v>
      </c>
      <c r="K18" s="1806">
        <f>SUM(K19:K22)</f>
        <v>0</v>
      </c>
      <c r="L18" s="1807">
        <f>SUM(L19:L22)</f>
        <v>0</v>
      </c>
    </row>
    <row r="19" spans="1:12" hidden="1" x14ac:dyDescent="0.2">
      <c r="A19" s="468" t="s">
        <v>130</v>
      </c>
      <c r="B19" s="475">
        <v>968</v>
      </c>
      <c r="C19" s="475">
        <v>107</v>
      </c>
      <c r="D19" s="475" t="s">
        <v>162</v>
      </c>
      <c r="E19" s="475">
        <v>500</v>
      </c>
      <c r="F19" s="481">
        <v>244</v>
      </c>
      <c r="G19" s="481">
        <v>221</v>
      </c>
      <c r="H19" s="1806">
        <f t="shared" si="0"/>
        <v>0</v>
      </c>
      <c r="I19" s="1806">
        <v>0</v>
      </c>
      <c r="J19" s="1806">
        <v>0</v>
      </c>
      <c r="K19" s="1806">
        <v>0</v>
      </c>
      <c r="L19" s="1807">
        <v>0</v>
      </c>
    </row>
    <row r="20" spans="1:12" hidden="1" x14ac:dyDescent="0.2">
      <c r="A20" s="468" t="s">
        <v>131</v>
      </c>
      <c r="B20" s="475">
        <v>968</v>
      </c>
      <c r="C20" s="475">
        <v>107</v>
      </c>
      <c r="D20" s="475" t="s">
        <v>162</v>
      </c>
      <c r="E20" s="475">
        <v>500</v>
      </c>
      <c r="F20" s="481">
        <v>244</v>
      </c>
      <c r="G20" s="481">
        <v>222</v>
      </c>
      <c r="H20" s="1806">
        <f t="shared" si="0"/>
        <v>0</v>
      </c>
      <c r="I20" s="1806">
        <v>0</v>
      </c>
      <c r="J20" s="1806">
        <v>0</v>
      </c>
      <c r="K20" s="1806">
        <v>0</v>
      </c>
      <c r="L20" s="1807">
        <v>0</v>
      </c>
    </row>
    <row r="21" spans="1:12" hidden="1" x14ac:dyDescent="0.2">
      <c r="A21" s="468" t="s">
        <v>382</v>
      </c>
      <c r="B21" s="475">
        <v>968</v>
      </c>
      <c r="C21" s="475">
        <v>107</v>
      </c>
      <c r="D21" s="475" t="s">
        <v>162</v>
      </c>
      <c r="E21" s="475">
        <v>500</v>
      </c>
      <c r="F21" s="481">
        <v>244</v>
      </c>
      <c r="G21" s="481">
        <v>225</v>
      </c>
      <c r="H21" s="1806">
        <f t="shared" si="0"/>
        <v>0</v>
      </c>
      <c r="I21" s="1806">
        <v>0</v>
      </c>
      <c r="J21" s="1806">
        <v>0</v>
      </c>
      <c r="K21" s="1806">
        <v>0</v>
      </c>
      <c r="L21" s="1807">
        <v>0</v>
      </c>
    </row>
    <row r="22" spans="1:12" hidden="1" x14ac:dyDescent="0.2">
      <c r="A22" s="468" t="s">
        <v>383</v>
      </c>
      <c r="B22" s="475">
        <v>968</v>
      </c>
      <c r="C22" s="475">
        <v>107</v>
      </c>
      <c r="D22" s="475" t="s">
        <v>162</v>
      </c>
      <c r="E22" s="475">
        <v>500</v>
      </c>
      <c r="F22" s="481">
        <v>244</v>
      </c>
      <c r="G22" s="481">
        <v>226</v>
      </c>
      <c r="H22" s="1806">
        <f t="shared" si="0"/>
        <v>0</v>
      </c>
      <c r="I22" s="1806">
        <v>0</v>
      </c>
      <c r="J22" s="1806">
        <v>0</v>
      </c>
      <c r="K22" s="1806">
        <v>0</v>
      </c>
      <c r="L22" s="1807">
        <v>0</v>
      </c>
    </row>
    <row r="23" spans="1:12" hidden="1" x14ac:dyDescent="0.2">
      <c r="A23" s="465" t="s">
        <v>384</v>
      </c>
      <c r="B23" s="156">
        <v>917</v>
      </c>
      <c r="C23" s="156">
        <v>107</v>
      </c>
      <c r="D23" s="156" t="s">
        <v>162</v>
      </c>
      <c r="E23" s="156">
        <v>500</v>
      </c>
      <c r="F23" s="755">
        <v>244</v>
      </c>
      <c r="G23" s="479">
        <v>300</v>
      </c>
      <c r="H23" s="1806">
        <f t="shared" si="0"/>
        <v>0</v>
      </c>
      <c r="I23" s="1806">
        <f>SUM(I24:I25)</f>
        <v>0</v>
      </c>
      <c r="J23" s="1806">
        <f>SUM(J24:J25)</f>
        <v>0</v>
      </c>
      <c r="K23" s="1806">
        <f>SUM(K24:K25)</f>
        <v>0</v>
      </c>
      <c r="L23" s="1806">
        <f>SUM(L24:L25)</f>
        <v>0</v>
      </c>
    </row>
    <row r="24" spans="1:12" hidden="1" x14ac:dyDescent="0.2">
      <c r="A24" s="467" t="s">
        <v>279</v>
      </c>
      <c r="B24" s="474">
        <v>968</v>
      </c>
      <c r="C24" s="474">
        <v>107</v>
      </c>
      <c r="D24" s="474" t="s">
        <v>162</v>
      </c>
      <c r="E24" s="474">
        <v>500</v>
      </c>
      <c r="F24" s="481">
        <v>244</v>
      </c>
      <c r="G24" s="2106">
        <v>310</v>
      </c>
      <c r="H24" s="1806">
        <f>SUM(I24:L24)</f>
        <v>0</v>
      </c>
      <c r="I24" s="1806">
        <v>0</v>
      </c>
      <c r="J24" s="1806">
        <v>0</v>
      </c>
      <c r="K24" s="1806">
        <v>0</v>
      </c>
      <c r="L24" s="1807">
        <v>0</v>
      </c>
    </row>
    <row r="25" spans="1:12" hidden="1" x14ac:dyDescent="0.2">
      <c r="A25" s="467" t="s">
        <v>280</v>
      </c>
      <c r="B25" s="474">
        <v>968</v>
      </c>
      <c r="C25" s="474">
        <v>107</v>
      </c>
      <c r="D25" s="474" t="s">
        <v>162</v>
      </c>
      <c r="E25" s="474">
        <v>500</v>
      </c>
      <c r="F25" s="481">
        <v>244</v>
      </c>
      <c r="G25" s="481">
        <v>340</v>
      </c>
      <c r="H25" s="1806">
        <f t="shared" si="0"/>
        <v>0</v>
      </c>
      <c r="I25" s="1806">
        <v>0</v>
      </c>
      <c r="J25" s="1806">
        <v>0</v>
      </c>
      <c r="K25" s="1806">
        <v>0</v>
      </c>
      <c r="L25" s="1807">
        <v>0</v>
      </c>
    </row>
    <row r="26" spans="1:12" hidden="1" x14ac:dyDescent="0.2">
      <c r="A26" s="1815" t="s">
        <v>1314</v>
      </c>
      <c r="B26" s="830">
        <v>917</v>
      </c>
      <c r="C26" s="830">
        <v>107</v>
      </c>
      <c r="D26" s="830" t="s">
        <v>1313</v>
      </c>
      <c r="E26" s="830"/>
      <c r="F26" s="830"/>
      <c r="G26" s="830"/>
      <c r="H26" s="1816">
        <f t="shared" si="0"/>
        <v>0</v>
      </c>
      <c r="I26" s="1816">
        <f t="shared" ref="I26:L28" si="2">I27</f>
        <v>0</v>
      </c>
      <c r="J26" s="1816">
        <f t="shared" si="2"/>
        <v>0</v>
      </c>
      <c r="K26" s="1816">
        <f t="shared" si="2"/>
        <v>0</v>
      </c>
      <c r="L26" s="2239">
        <f t="shared" si="2"/>
        <v>0</v>
      </c>
    </row>
    <row r="27" spans="1:12" hidden="1" x14ac:dyDescent="0.2">
      <c r="A27" s="487" t="s">
        <v>1357</v>
      </c>
      <c r="B27" s="830">
        <v>917</v>
      </c>
      <c r="C27" s="830">
        <v>107</v>
      </c>
      <c r="D27" s="830" t="s">
        <v>1313</v>
      </c>
      <c r="E27" s="830"/>
      <c r="F27" s="830">
        <v>200</v>
      </c>
      <c r="G27" s="830"/>
      <c r="H27" s="1816">
        <f>SUM(I27:L27)</f>
        <v>0</v>
      </c>
      <c r="I27" s="1816">
        <f t="shared" si="2"/>
        <v>0</v>
      </c>
      <c r="J27" s="1816">
        <f t="shared" si="2"/>
        <v>0</v>
      </c>
      <c r="K27" s="1816">
        <f t="shared" si="2"/>
        <v>0</v>
      </c>
      <c r="L27" s="2239">
        <f t="shared" si="2"/>
        <v>0</v>
      </c>
    </row>
    <row r="28" spans="1:12" hidden="1" x14ac:dyDescent="0.2">
      <c r="A28" s="1278" t="s">
        <v>1201</v>
      </c>
      <c r="B28" s="1285">
        <v>917</v>
      </c>
      <c r="C28" s="1285">
        <v>107</v>
      </c>
      <c r="D28" s="1285" t="s">
        <v>1313</v>
      </c>
      <c r="E28" s="1285"/>
      <c r="F28" s="1285">
        <v>244</v>
      </c>
      <c r="G28" s="1285"/>
      <c r="H28" s="2116">
        <f t="shared" si="0"/>
        <v>0</v>
      </c>
      <c r="I28" s="2116">
        <f t="shared" si="2"/>
        <v>0</v>
      </c>
      <c r="J28" s="2116">
        <f t="shared" si="2"/>
        <v>0</v>
      </c>
      <c r="K28" s="2116">
        <f t="shared" si="2"/>
        <v>0</v>
      </c>
      <c r="L28" s="2240">
        <f t="shared" si="2"/>
        <v>0</v>
      </c>
    </row>
    <row r="29" spans="1:12" ht="13.5" hidden="1" thickBot="1" x14ac:dyDescent="0.25">
      <c r="A29" s="2230" t="s">
        <v>383</v>
      </c>
      <c r="B29" s="2111">
        <v>917</v>
      </c>
      <c r="C29" s="2111">
        <v>107</v>
      </c>
      <c r="D29" s="2111" t="s">
        <v>1313</v>
      </c>
      <c r="E29" s="2111"/>
      <c r="F29" s="2111">
        <v>244</v>
      </c>
      <c r="G29" s="2111">
        <v>226</v>
      </c>
      <c r="H29" s="2231">
        <f t="shared" si="0"/>
        <v>0</v>
      </c>
      <c r="I29" s="2231">
        <v>0</v>
      </c>
      <c r="J29" s="2231">
        <v>0</v>
      </c>
      <c r="K29" s="2231">
        <v>0</v>
      </c>
      <c r="L29" s="2241">
        <v>0</v>
      </c>
    </row>
    <row r="30" spans="1:12" ht="16.5" hidden="1" thickBot="1" x14ac:dyDescent="0.3">
      <c r="A30" s="864" t="s">
        <v>348</v>
      </c>
      <c r="B30" s="985"/>
      <c r="C30" s="985"/>
      <c r="D30" s="985"/>
      <c r="E30" s="985"/>
      <c r="F30" s="985"/>
      <c r="G30" s="1762"/>
      <c r="H30" s="2232">
        <f>H8</f>
        <v>0</v>
      </c>
      <c r="I30" s="2232">
        <f>I8</f>
        <v>0</v>
      </c>
      <c r="J30" s="2232">
        <f>J8</f>
        <v>0</v>
      </c>
      <c r="K30" s="2232">
        <f>K8</f>
        <v>0</v>
      </c>
      <c r="L30" s="2232">
        <f>L8</f>
        <v>0</v>
      </c>
    </row>
    <row r="31" spans="1:12" hidden="1" x14ac:dyDescent="0.2"/>
    <row r="32" spans="1:12" hidden="1" x14ac:dyDescent="0.2">
      <c r="A32" t="s">
        <v>1433</v>
      </c>
      <c r="I32" s="3049" t="s">
        <v>1434</v>
      </c>
      <c r="J32" s="3049"/>
      <c r="K32" s="3049"/>
      <c r="L32" s="984"/>
    </row>
    <row r="33" spans="1:12" hidden="1" x14ac:dyDescent="0.2">
      <c r="A33" s="3041"/>
      <c r="B33" s="3041"/>
      <c r="I33" s="3049"/>
      <c r="J33" s="3049"/>
      <c r="K33" s="3049"/>
    </row>
    <row r="34" spans="1:12" ht="22.5" customHeight="1" x14ac:dyDescent="0.2">
      <c r="A34" s="29"/>
      <c r="D34" s="2979" t="s">
        <v>105</v>
      </c>
      <c r="E34" s="2979"/>
      <c r="F34" s="2979"/>
      <c r="G34" s="2979"/>
      <c r="H34" s="2979"/>
      <c r="I34" s="2979"/>
      <c r="J34" s="2979"/>
      <c r="K34" s="2979"/>
      <c r="L34" s="2979"/>
    </row>
    <row r="35" spans="1:12" x14ac:dyDescent="0.2">
      <c r="D35" s="2979" t="s">
        <v>1541</v>
      </c>
      <c r="E35" s="2979"/>
      <c r="F35" s="2979"/>
      <c r="G35" s="2979"/>
      <c r="H35" s="2979"/>
      <c r="I35" s="2979"/>
      <c r="J35" s="2979"/>
      <c r="K35" s="2979"/>
      <c r="L35" s="2979"/>
    </row>
    <row r="36" spans="1:12" ht="12.75" customHeight="1" x14ac:dyDescent="0.2">
      <c r="D36" s="2979" t="s">
        <v>1554</v>
      </c>
      <c r="E36" s="2979"/>
      <c r="F36" s="2979"/>
      <c r="G36" s="2979"/>
      <c r="H36" s="2979"/>
      <c r="I36" s="2979"/>
      <c r="J36" s="2979"/>
      <c r="K36" s="2979"/>
      <c r="L36" s="2979"/>
    </row>
    <row r="37" spans="1:12" ht="12.75" customHeight="1" x14ac:dyDescent="0.2">
      <c r="D37" s="2979" t="s">
        <v>1581</v>
      </c>
      <c r="E37" s="2979"/>
      <c r="F37" s="2979"/>
      <c r="G37" s="2979"/>
      <c r="H37" s="2979"/>
      <c r="I37" s="2979"/>
      <c r="J37" s="2979"/>
      <c r="K37" s="2979"/>
      <c r="L37" s="2979"/>
    </row>
    <row r="38" spans="1:12" ht="12.75" customHeight="1" x14ac:dyDescent="0.2">
      <c r="D38" s="2979" t="s">
        <v>1582</v>
      </c>
      <c r="E38" s="2979"/>
      <c r="F38" s="2979"/>
      <c r="G38" s="2979"/>
      <c r="H38" s="2979"/>
      <c r="I38" s="2979"/>
      <c r="J38" s="2979"/>
      <c r="K38" s="2979"/>
      <c r="L38" s="2979"/>
    </row>
    <row r="39" spans="1:12" ht="12.75" customHeight="1" x14ac:dyDescent="0.2">
      <c r="D39" s="2979" t="s">
        <v>1597</v>
      </c>
      <c r="E39" s="2979"/>
      <c r="F39" s="2979"/>
      <c r="G39" s="2979"/>
      <c r="H39" s="2979"/>
      <c r="I39" s="2979"/>
      <c r="J39" s="2979"/>
      <c r="K39" s="2979"/>
      <c r="L39" s="2979"/>
    </row>
    <row r="40" spans="1:12" ht="12.75" customHeight="1" x14ac:dyDescent="0.2">
      <c r="D40" s="2979" t="s">
        <v>1618</v>
      </c>
      <c r="E40" s="2979"/>
      <c r="F40" s="2979"/>
      <c r="G40" s="2979"/>
      <c r="H40" s="2979"/>
      <c r="I40" s="2979"/>
      <c r="J40" s="2979"/>
      <c r="K40" s="2979"/>
      <c r="L40" s="2979"/>
    </row>
    <row r="41" spans="1:12" ht="12.75" hidden="1" customHeight="1" x14ac:dyDescent="0.2">
      <c r="D41" s="2979"/>
      <c r="E41" s="2979"/>
      <c r="F41" s="2979"/>
      <c r="G41" s="2979"/>
      <c r="H41" s="2979"/>
      <c r="I41" s="2979"/>
      <c r="J41" s="2979"/>
      <c r="K41" s="2979"/>
      <c r="L41" s="2979"/>
    </row>
    <row r="42" spans="1:12" ht="12.75" hidden="1" customHeight="1" x14ac:dyDescent="0.2">
      <c r="D42" s="2979"/>
      <c r="E42" s="2979"/>
      <c r="F42" s="2979"/>
      <c r="G42" s="2979"/>
      <c r="H42" s="2979"/>
      <c r="I42" s="2979"/>
      <c r="J42" s="2979"/>
      <c r="K42" s="2979"/>
      <c r="L42" s="2979"/>
    </row>
    <row r="43" spans="1:12" ht="12.75" hidden="1" customHeight="1" x14ac:dyDescent="0.2">
      <c r="D43" s="2979"/>
      <c r="E43" s="2979"/>
      <c r="F43" s="2979"/>
      <c r="G43" s="2979"/>
      <c r="H43" s="2979"/>
      <c r="I43" s="2979"/>
      <c r="J43" s="2979"/>
      <c r="K43" s="2979"/>
      <c r="L43" s="2979"/>
    </row>
    <row r="44" spans="1:12" ht="12.75" hidden="1" customHeight="1" x14ac:dyDescent="0.2">
      <c r="D44" s="2979"/>
      <c r="E44" s="2979"/>
      <c r="F44" s="2979"/>
      <c r="G44" s="2979"/>
      <c r="H44" s="2979"/>
      <c r="I44" s="2979"/>
      <c r="J44" s="2979"/>
      <c r="K44" s="2979"/>
      <c r="L44" s="2979"/>
    </row>
    <row r="45" spans="1:12" hidden="1" x14ac:dyDescent="0.2">
      <c r="D45" s="2979"/>
      <c r="E45" s="2979"/>
      <c r="F45" s="2979"/>
      <c r="G45" s="2979"/>
      <c r="H45" s="2979"/>
      <c r="I45" s="2979"/>
      <c r="J45" s="2979"/>
      <c r="K45" s="2979"/>
      <c r="L45" s="2979"/>
    </row>
    <row r="46" spans="1:12" hidden="1" x14ac:dyDescent="0.2">
      <c r="D46" s="2979"/>
      <c r="E46" s="2979"/>
      <c r="F46" s="2979"/>
      <c r="G46" s="2979"/>
      <c r="H46" s="2979"/>
      <c r="I46" s="2979"/>
      <c r="J46" s="2979"/>
      <c r="K46" s="2979"/>
      <c r="L46" s="2979"/>
    </row>
    <row r="47" spans="1:12" hidden="1" x14ac:dyDescent="0.2"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 x14ac:dyDescent="0.25">
      <c r="A48" s="3046" t="s">
        <v>104</v>
      </c>
      <c r="B48" s="3046"/>
      <c r="C48" s="3046"/>
      <c r="D48" s="3046"/>
      <c r="E48" s="3046"/>
      <c r="F48" s="3046"/>
      <c r="G48" s="3046"/>
      <c r="H48" s="3046"/>
      <c r="I48" s="3046"/>
      <c r="J48" s="3046"/>
      <c r="K48" s="3046"/>
      <c r="L48" s="3046"/>
    </row>
    <row r="49" spans="1:13" ht="15" x14ac:dyDescent="0.25">
      <c r="A49" s="3046" t="s">
        <v>1460</v>
      </c>
      <c r="B49" s="3046"/>
      <c r="C49" s="3046"/>
      <c r="D49" s="3046"/>
      <c r="E49" s="3046"/>
      <c r="F49" s="3046"/>
      <c r="G49" s="3046"/>
      <c r="H49" s="3046"/>
      <c r="I49" s="3046"/>
      <c r="J49" s="3046"/>
      <c r="K49" s="3046"/>
      <c r="L49" s="3046"/>
    </row>
    <row r="50" spans="1:13" ht="15" hidden="1" x14ac:dyDescent="0.25">
      <c r="A50" s="462"/>
      <c r="B50" s="462"/>
      <c r="C50" s="462"/>
      <c r="D50" s="3039" t="s">
        <v>1107</v>
      </c>
      <c r="E50" s="3040"/>
      <c r="F50" s="3040"/>
      <c r="G50" s="3040"/>
      <c r="H50" s="3040"/>
      <c r="I50" s="3040"/>
      <c r="J50" s="3040"/>
      <c r="K50" s="3040"/>
      <c r="L50" s="3040"/>
    </row>
    <row r="51" spans="1:13" ht="15" hidden="1" x14ac:dyDescent="0.25">
      <c r="A51" s="462"/>
      <c r="B51" s="462"/>
      <c r="C51" s="462"/>
      <c r="D51" s="3039" t="s">
        <v>1123</v>
      </c>
      <c r="E51" s="3040"/>
      <c r="F51" s="3040"/>
      <c r="G51" s="3040"/>
      <c r="H51" s="3040"/>
      <c r="I51" s="3040"/>
      <c r="J51" s="3040"/>
      <c r="K51" s="3040"/>
      <c r="L51" s="3040"/>
    </row>
    <row r="52" spans="1:13" ht="15" hidden="1" x14ac:dyDescent="0.25">
      <c r="A52" s="462"/>
      <c r="B52" s="462"/>
      <c r="C52" s="462"/>
      <c r="D52" s="3039" t="s">
        <v>1432</v>
      </c>
      <c r="E52" s="3040"/>
      <c r="F52" s="3040"/>
      <c r="G52" s="3040"/>
      <c r="H52" s="3040"/>
      <c r="I52" s="3040"/>
      <c r="J52" s="3040"/>
      <c r="K52" s="3040"/>
      <c r="L52" s="3040"/>
    </row>
    <row r="53" spans="1:13" ht="15" hidden="1" x14ac:dyDescent="0.25">
      <c r="A53" s="462"/>
      <c r="B53" s="462"/>
      <c r="C53" s="462"/>
      <c r="D53" s="3039" t="s">
        <v>1449</v>
      </c>
      <c r="E53" s="3040"/>
      <c r="F53" s="3040"/>
      <c r="G53" s="3040"/>
      <c r="H53" s="3040"/>
      <c r="I53" s="3040"/>
      <c r="J53" s="3040"/>
      <c r="K53" s="3040"/>
      <c r="L53" s="3040"/>
    </row>
    <row r="54" spans="1:13" ht="15.75" customHeight="1" thickBot="1" x14ac:dyDescent="0.25">
      <c r="A54" s="3047" t="s">
        <v>272</v>
      </c>
      <c r="B54" s="3047"/>
      <c r="C54" s="3047"/>
      <c r="D54" s="3047"/>
      <c r="E54" s="3047"/>
      <c r="F54" s="3047"/>
      <c r="G54" s="3047"/>
      <c r="H54" s="3047"/>
      <c r="I54" s="3047"/>
      <c r="J54" s="3047"/>
      <c r="K54" s="3047"/>
      <c r="L54" s="3047"/>
    </row>
    <row r="55" spans="1:13" ht="57" thickBot="1" x14ac:dyDescent="0.25">
      <c r="A55" s="469" t="s">
        <v>273</v>
      </c>
      <c r="B55" s="470" t="s">
        <v>498</v>
      </c>
      <c r="C55" s="470" t="s">
        <v>286</v>
      </c>
      <c r="D55" s="470" t="s">
        <v>284</v>
      </c>
      <c r="E55" s="470" t="s">
        <v>121</v>
      </c>
      <c r="F55" s="470" t="s">
        <v>121</v>
      </c>
      <c r="G55" s="476" t="s">
        <v>376</v>
      </c>
      <c r="H55" s="483" t="s">
        <v>322</v>
      </c>
      <c r="I55" s="483" t="s">
        <v>930</v>
      </c>
      <c r="J55" s="639" t="s">
        <v>931</v>
      </c>
      <c r="K55" s="483" t="s">
        <v>913</v>
      </c>
      <c r="L55" s="758" t="s">
        <v>914</v>
      </c>
    </row>
    <row r="56" spans="1:13" ht="13.5" thickBot="1" x14ac:dyDescent="0.25">
      <c r="A56" s="471">
        <v>1</v>
      </c>
      <c r="B56" s="472">
        <v>2</v>
      </c>
      <c r="C56" s="472">
        <v>3</v>
      </c>
      <c r="D56" s="472">
        <v>4</v>
      </c>
      <c r="E56" s="472">
        <v>5</v>
      </c>
      <c r="F56" s="477">
        <v>5</v>
      </c>
      <c r="G56" s="477">
        <v>6</v>
      </c>
      <c r="H56" s="484">
        <v>7</v>
      </c>
      <c r="I56" s="484">
        <v>8</v>
      </c>
      <c r="J56" s="640">
        <v>9</v>
      </c>
      <c r="K56" s="484">
        <v>10</v>
      </c>
      <c r="L56" s="759">
        <v>11</v>
      </c>
    </row>
    <row r="57" spans="1:13" ht="21" customHeight="1" thickBot="1" x14ac:dyDescent="0.25">
      <c r="A57" s="973" t="s">
        <v>102</v>
      </c>
      <c r="B57" s="1787">
        <v>925</v>
      </c>
      <c r="C57" s="974"/>
      <c r="D57" s="974"/>
      <c r="E57" s="974"/>
      <c r="F57" s="975"/>
      <c r="G57" s="975"/>
      <c r="H57" s="751">
        <f>SUM(I57:L57)</f>
        <v>4378.8</v>
      </c>
      <c r="I57" s="751">
        <f>I58</f>
        <v>1193.9920000000002</v>
      </c>
      <c r="J57" s="751">
        <f>J58</f>
        <v>809.55000000000007</v>
      </c>
      <c r="K57" s="751">
        <f>K58</f>
        <v>1602.2410000000002</v>
      </c>
      <c r="L57" s="2485">
        <f>L58</f>
        <v>773.01699999999994</v>
      </c>
      <c r="M57" s="1018"/>
    </row>
    <row r="58" spans="1:13" ht="23.25" customHeight="1" thickBot="1" x14ac:dyDescent="0.25">
      <c r="A58" s="747" t="s">
        <v>122</v>
      </c>
      <c r="B58" s="748">
        <v>925</v>
      </c>
      <c r="C58" s="748">
        <v>100</v>
      </c>
      <c r="D58" s="748"/>
      <c r="E58" s="748"/>
      <c r="F58" s="749"/>
      <c r="G58" s="749"/>
      <c r="H58" s="750">
        <f>SUM(I58:L58)</f>
        <v>4378.8</v>
      </c>
      <c r="I58" s="750">
        <f>I59+I66+I103</f>
        <v>1193.9920000000002</v>
      </c>
      <c r="J58" s="750">
        <f>J59+J66+J103</f>
        <v>809.55000000000007</v>
      </c>
      <c r="K58" s="750">
        <f>K59+K66+K103</f>
        <v>1602.2410000000002</v>
      </c>
      <c r="L58" s="750">
        <f>L59+L66+L103</f>
        <v>773.01699999999994</v>
      </c>
      <c r="M58" s="1018"/>
    </row>
    <row r="59" spans="1:13" ht="30" customHeight="1" x14ac:dyDescent="0.2">
      <c r="A59" s="752" t="s">
        <v>152</v>
      </c>
      <c r="B59" s="744">
        <v>925</v>
      </c>
      <c r="C59" s="744">
        <v>102</v>
      </c>
      <c r="D59" s="744"/>
      <c r="E59" s="744"/>
      <c r="F59" s="745"/>
      <c r="G59" s="745"/>
      <c r="H59" s="1792">
        <f t="shared" ref="H59:L60" si="3">H60</f>
        <v>1117.634</v>
      </c>
      <c r="I59" s="1792">
        <f t="shared" si="3"/>
        <v>291.86500000000001</v>
      </c>
      <c r="J59" s="1793">
        <f t="shared" si="3"/>
        <v>293.072</v>
      </c>
      <c r="K59" s="1794">
        <f t="shared" si="3"/>
        <v>282.31600000000003</v>
      </c>
      <c r="L59" s="1794">
        <f t="shared" si="3"/>
        <v>250.381</v>
      </c>
      <c r="M59" s="1018"/>
    </row>
    <row r="60" spans="1:13" ht="18" customHeight="1" x14ac:dyDescent="0.2">
      <c r="A60" s="464" t="s">
        <v>513</v>
      </c>
      <c r="B60" s="166">
        <v>925</v>
      </c>
      <c r="C60" s="166">
        <v>102</v>
      </c>
      <c r="D60" s="166" t="s">
        <v>514</v>
      </c>
      <c r="E60" s="166"/>
      <c r="F60" s="482"/>
      <c r="G60" s="482"/>
      <c r="H60" s="1795">
        <f>SUM(I60:L60)</f>
        <v>1117.634</v>
      </c>
      <c r="I60" s="1795">
        <f>I61</f>
        <v>291.86500000000001</v>
      </c>
      <c r="J60" s="1795">
        <f t="shared" si="3"/>
        <v>293.072</v>
      </c>
      <c r="K60" s="1795">
        <f t="shared" si="3"/>
        <v>282.31600000000003</v>
      </c>
      <c r="L60" s="1795">
        <f t="shared" si="3"/>
        <v>250.381</v>
      </c>
      <c r="M60" s="1018"/>
    </row>
    <row r="61" spans="1:13" ht="36.75" customHeight="1" x14ac:dyDescent="0.2">
      <c r="A61" s="2098" t="s">
        <v>1359</v>
      </c>
      <c r="B61" s="830">
        <v>925</v>
      </c>
      <c r="C61" s="830">
        <v>102</v>
      </c>
      <c r="D61" s="830" t="s">
        <v>514</v>
      </c>
      <c r="E61" s="830"/>
      <c r="F61" s="2099">
        <v>100</v>
      </c>
      <c r="G61" s="2099"/>
      <c r="H61" s="2113">
        <f>SUM(I61:L61)</f>
        <v>1117.634</v>
      </c>
      <c r="I61" s="2113">
        <f>I62</f>
        <v>291.86500000000001</v>
      </c>
      <c r="J61" s="2113">
        <f t="shared" ref="J61:L62" si="4">J62</f>
        <v>293.072</v>
      </c>
      <c r="K61" s="2113">
        <f t="shared" si="4"/>
        <v>282.31600000000003</v>
      </c>
      <c r="L61" s="2113">
        <f t="shared" si="4"/>
        <v>250.381</v>
      </c>
      <c r="M61" s="1018"/>
    </row>
    <row r="62" spans="1:13" x14ac:dyDescent="0.2">
      <c r="A62" s="1278" t="s">
        <v>1215</v>
      </c>
      <c r="B62" s="1285">
        <v>925</v>
      </c>
      <c r="C62" s="1285">
        <v>102</v>
      </c>
      <c r="D62" s="1285" t="s">
        <v>514</v>
      </c>
      <c r="E62" s="1285">
        <v>500</v>
      </c>
      <c r="F62" s="1279">
        <v>121</v>
      </c>
      <c r="G62" s="1279"/>
      <c r="H62" s="2114">
        <f>SUM(I62:L62)</f>
        <v>1117.634</v>
      </c>
      <c r="I62" s="2114">
        <f>I63</f>
        <v>291.86500000000001</v>
      </c>
      <c r="J62" s="2115">
        <f t="shared" si="4"/>
        <v>293.072</v>
      </c>
      <c r="K62" s="2114">
        <f t="shared" si="4"/>
        <v>282.31600000000003</v>
      </c>
      <c r="L62" s="2114">
        <f t="shared" si="4"/>
        <v>250.381</v>
      </c>
      <c r="M62" s="1018"/>
    </row>
    <row r="63" spans="1:13" x14ac:dyDescent="0.2">
      <c r="A63" s="467" t="s">
        <v>377</v>
      </c>
      <c r="B63" s="474">
        <v>925</v>
      </c>
      <c r="C63" s="474">
        <v>102</v>
      </c>
      <c r="D63" s="474" t="s">
        <v>378</v>
      </c>
      <c r="E63" s="474">
        <v>500</v>
      </c>
      <c r="F63" s="480">
        <v>121</v>
      </c>
      <c r="G63" s="480">
        <v>210</v>
      </c>
      <c r="H63" s="1796">
        <f>SUM(H64:H65)</f>
        <v>1117.634</v>
      </c>
      <c r="I63" s="1796">
        <f>SUM(I64:I65)</f>
        <v>291.86500000000001</v>
      </c>
      <c r="J63" s="1797">
        <f>SUM(J64:J65)</f>
        <v>293.072</v>
      </c>
      <c r="K63" s="1796">
        <f>SUM(K64:K65)</f>
        <v>282.31600000000003</v>
      </c>
      <c r="L63" s="1796">
        <f>SUM(L64:L65)</f>
        <v>250.381</v>
      </c>
      <c r="M63" s="1018"/>
    </row>
    <row r="64" spans="1:13" x14ac:dyDescent="0.2">
      <c r="A64" s="468" t="s">
        <v>125</v>
      </c>
      <c r="B64" s="475">
        <v>925</v>
      </c>
      <c r="C64" s="475">
        <v>102</v>
      </c>
      <c r="D64" s="475" t="s">
        <v>378</v>
      </c>
      <c r="E64" s="475">
        <v>500</v>
      </c>
      <c r="F64" s="481">
        <v>121</v>
      </c>
      <c r="G64" s="481">
        <v>211</v>
      </c>
      <c r="H64" s="1798">
        <f>SUM(I64:L64)</f>
        <v>888.125</v>
      </c>
      <c r="I64" s="1798">
        <f>222.032+3.062</f>
        <v>225.09400000000002</v>
      </c>
      <c r="J64" s="1799">
        <f>222.031-3.062+6.125</f>
        <v>225.09399999999999</v>
      </c>
      <c r="K64" s="1800">
        <f>222.031-6.125</f>
        <v>215.90600000000001</v>
      </c>
      <c r="L64" s="1798">
        <v>222.03100000000001</v>
      </c>
      <c r="M64" s="1018"/>
    </row>
    <row r="65" spans="1:13" ht="14.25" customHeight="1" x14ac:dyDescent="0.2">
      <c r="A65" s="468" t="s">
        <v>379</v>
      </c>
      <c r="B65" s="475">
        <v>925</v>
      </c>
      <c r="C65" s="475">
        <v>102</v>
      </c>
      <c r="D65" s="475" t="s">
        <v>378</v>
      </c>
      <c r="E65" s="475">
        <v>500</v>
      </c>
      <c r="F65" s="481">
        <v>121</v>
      </c>
      <c r="G65" s="481">
        <v>213</v>
      </c>
      <c r="H65" s="1798">
        <f>SUM(I65:L65)</f>
        <v>229.50899999999999</v>
      </c>
      <c r="I65" s="1798">
        <f>67.053-0.282</f>
        <v>66.771000000000001</v>
      </c>
      <c r="J65" s="1801">
        <f>67.053+0.282+0.643</f>
        <v>67.977999999999994</v>
      </c>
      <c r="K65" s="1798">
        <f>67.053-0.643</f>
        <v>66.41</v>
      </c>
      <c r="L65" s="1798">
        <f>27.95+0.4</f>
        <v>28.349999999999998</v>
      </c>
      <c r="M65" s="1018"/>
    </row>
    <row r="66" spans="1:13" ht="45.75" customHeight="1" x14ac:dyDescent="0.2">
      <c r="A66" s="488" t="s">
        <v>1055</v>
      </c>
      <c r="B66" s="473">
        <v>925</v>
      </c>
      <c r="C66" s="473">
        <v>103</v>
      </c>
      <c r="D66" s="473"/>
      <c r="E66" s="473"/>
      <c r="F66" s="478"/>
      <c r="G66" s="478"/>
      <c r="H66" s="495">
        <f>H67+H82</f>
        <v>3261.1660000000002</v>
      </c>
      <c r="I66" s="495">
        <f>I67+I82</f>
        <v>902.12700000000007</v>
      </c>
      <c r="J66" s="1763">
        <f>J67+J82</f>
        <v>516.47800000000007</v>
      </c>
      <c r="K66" s="495">
        <f>K67+K82</f>
        <v>1319.9250000000002</v>
      </c>
      <c r="L66" s="495">
        <f>L67+L82</f>
        <v>522.63599999999997</v>
      </c>
      <c r="M66" s="1018"/>
    </row>
    <row r="67" spans="1:13" ht="25.5" customHeight="1" x14ac:dyDescent="0.2">
      <c r="A67" s="464" t="s">
        <v>532</v>
      </c>
      <c r="B67" s="166">
        <v>925</v>
      </c>
      <c r="C67" s="166">
        <v>103</v>
      </c>
      <c r="D67" s="166" t="s">
        <v>63</v>
      </c>
      <c r="E67" s="166"/>
      <c r="F67" s="482"/>
      <c r="G67" s="482"/>
      <c r="H67" s="493">
        <f>H68+H77</f>
        <v>1225.6399999999999</v>
      </c>
      <c r="I67" s="493">
        <f>I68+I77</f>
        <v>311.12300000000005</v>
      </c>
      <c r="J67" s="757">
        <f>J68+J77</f>
        <v>312.33100000000002</v>
      </c>
      <c r="K67" s="493">
        <f>K68+K77</f>
        <v>303.49</v>
      </c>
      <c r="L67" s="493">
        <f>L68+L77</f>
        <v>298.69600000000003</v>
      </c>
      <c r="M67" s="1018"/>
    </row>
    <row r="68" spans="1:13" ht="25.5" customHeight="1" x14ac:dyDescent="0.2">
      <c r="A68" s="465" t="s">
        <v>64</v>
      </c>
      <c r="B68" s="829">
        <v>925</v>
      </c>
      <c r="C68" s="829">
        <v>103</v>
      </c>
      <c r="D68" s="829" t="s">
        <v>65</v>
      </c>
      <c r="E68" s="829"/>
      <c r="F68" s="831"/>
      <c r="G68" s="831"/>
      <c r="H68" s="493">
        <f>H70</f>
        <v>961.04</v>
      </c>
      <c r="I68" s="493">
        <f t="shared" ref="I68:L70" si="5">I69</f>
        <v>244.97300000000001</v>
      </c>
      <c r="J68" s="493">
        <f t="shared" si="5"/>
        <v>246.18100000000001</v>
      </c>
      <c r="K68" s="493">
        <f t="shared" si="5"/>
        <v>237.34</v>
      </c>
      <c r="L68" s="493">
        <f t="shared" si="5"/>
        <v>232.54599999999999</v>
      </c>
      <c r="M68" s="1018"/>
    </row>
    <row r="69" spans="1:13" ht="37.5" customHeight="1" x14ac:dyDescent="0.2">
      <c r="A69" s="2098" t="s">
        <v>1359</v>
      </c>
      <c r="B69" s="830">
        <v>925</v>
      </c>
      <c r="C69" s="830">
        <v>103</v>
      </c>
      <c r="D69" s="830" t="s">
        <v>65</v>
      </c>
      <c r="E69" s="830"/>
      <c r="F69" s="2099">
        <v>100</v>
      </c>
      <c r="G69" s="2099"/>
      <c r="H69" s="496">
        <f>SUM(I69:L69)</f>
        <v>961.04</v>
      </c>
      <c r="I69" s="496">
        <f t="shared" si="5"/>
        <v>244.97300000000001</v>
      </c>
      <c r="J69" s="496">
        <f t="shared" si="5"/>
        <v>246.18100000000001</v>
      </c>
      <c r="K69" s="496">
        <f t="shared" si="5"/>
        <v>237.34</v>
      </c>
      <c r="L69" s="496">
        <f t="shared" si="5"/>
        <v>232.54599999999999</v>
      </c>
      <c r="M69" s="1018"/>
    </row>
    <row r="70" spans="1:13" x14ac:dyDescent="0.2">
      <c r="A70" s="1278" t="s">
        <v>1215</v>
      </c>
      <c r="B70" s="1285">
        <v>925</v>
      </c>
      <c r="C70" s="1285">
        <v>103</v>
      </c>
      <c r="D70" s="1285" t="s">
        <v>65</v>
      </c>
      <c r="E70" s="1285">
        <v>500</v>
      </c>
      <c r="F70" s="1279">
        <v>121</v>
      </c>
      <c r="G70" s="1279"/>
      <c r="H70" s="1788">
        <f>H71</f>
        <v>961.04</v>
      </c>
      <c r="I70" s="1788">
        <f t="shared" si="5"/>
        <v>244.97300000000001</v>
      </c>
      <c r="J70" s="1790">
        <f t="shared" si="5"/>
        <v>246.18100000000001</v>
      </c>
      <c r="K70" s="1788">
        <f t="shared" si="5"/>
        <v>237.34</v>
      </c>
      <c r="L70" s="1788">
        <f t="shared" si="5"/>
        <v>232.54599999999999</v>
      </c>
      <c r="M70" s="1018"/>
    </row>
    <row r="71" spans="1:13" x14ac:dyDescent="0.2">
      <c r="A71" s="465" t="s">
        <v>380</v>
      </c>
      <c r="B71" s="156">
        <v>925</v>
      </c>
      <c r="C71" s="156">
        <v>103</v>
      </c>
      <c r="D71" s="156" t="s">
        <v>66</v>
      </c>
      <c r="E71" s="156">
        <v>500</v>
      </c>
      <c r="F71" s="479">
        <v>121</v>
      </c>
      <c r="G71" s="479">
        <v>200</v>
      </c>
      <c r="H71" s="738">
        <f>H72+H75</f>
        <v>961.04</v>
      </c>
      <c r="I71" s="738">
        <f>I72+I75</f>
        <v>244.97300000000001</v>
      </c>
      <c r="J71" s="1791">
        <f>J72+J75</f>
        <v>246.18100000000001</v>
      </c>
      <c r="K71" s="738">
        <f>K72+K75</f>
        <v>237.34</v>
      </c>
      <c r="L71" s="738">
        <f>L72+L75</f>
        <v>232.54599999999999</v>
      </c>
      <c r="M71" s="1018"/>
    </row>
    <row r="72" spans="1:13" x14ac:dyDescent="0.2">
      <c r="A72" s="467" t="s">
        <v>377</v>
      </c>
      <c r="B72" s="474">
        <v>925</v>
      </c>
      <c r="C72" s="474">
        <v>103</v>
      </c>
      <c r="D72" s="474" t="s">
        <v>66</v>
      </c>
      <c r="E72" s="474">
        <v>500</v>
      </c>
      <c r="F72" s="480">
        <v>121</v>
      </c>
      <c r="G72" s="480">
        <v>210</v>
      </c>
      <c r="H72" s="494">
        <f>SUM(H73:H74)</f>
        <v>961.04</v>
      </c>
      <c r="I72" s="494">
        <f>SUM(I73:I74)</f>
        <v>244.97300000000001</v>
      </c>
      <c r="J72" s="2572">
        <f>SUM(J73:J74)</f>
        <v>246.18100000000001</v>
      </c>
      <c r="K72" s="494">
        <f>SUM(K73:K74)</f>
        <v>237.34</v>
      </c>
      <c r="L72" s="494">
        <f>SUM(L73:L74)</f>
        <v>232.54599999999999</v>
      </c>
      <c r="M72" s="1018"/>
    </row>
    <row r="73" spans="1:13" x14ac:dyDescent="0.2">
      <c r="A73" s="468" t="s">
        <v>125</v>
      </c>
      <c r="B73" s="475">
        <v>925</v>
      </c>
      <c r="C73" s="475">
        <v>103</v>
      </c>
      <c r="D73" s="475" t="s">
        <v>66</v>
      </c>
      <c r="E73" s="475">
        <v>500</v>
      </c>
      <c r="F73" s="481">
        <v>121</v>
      </c>
      <c r="G73" s="481">
        <v>211</v>
      </c>
      <c r="H73" s="492">
        <f>SUM(I73:L73)</f>
        <v>746.02499999999998</v>
      </c>
      <c r="I73" s="492">
        <f>186.507+2.572</f>
        <v>189.07900000000001</v>
      </c>
      <c r="J73" s="2573">
        <f>186.506-2.572+5.145</f>
        <v>189.07900000000001</v>
      </c>
      <c r="K73" s="486">
        <f>186.506-5.145</f>
        <v>181.36099999999999</v>
      </c>
      <c r="L73" s="486">
        <v>186.506</v>
      </c>
      <c r="M73" s="1018"/>
    </row>
    <row r="74" spans="1:13" ht="16.5" customHeight="1" x14ac:dyDescent="0.2">
      <c r="A74" s="468" t="s">
        <v>379</v>
      </c>
      <c r="B74" s="475">
        <v>925</v>
      </c>
      <c r="C74" s="475">
        <v>103</v>
      </c>
      <c r="D74" s="475" t="s">
        <v>66</v>
      </c>
      <c r="E74" s="475">
        <v>500</v>
      </c>
      <c r="F74" s="481">
        <v>121</v>
      </c>
      <c r="G74" s="481">
        <v>213</v>
      </c>
      <c r="H74" s="492">
        <f>SUM(I74:L74)</f>
        <v>215.01500000000001</v>
      </c>
      <c r="I74" s="486">
        <f>56.325-0.431</f>
        <v>55.894000000000005</v>
      </c>
      <c r="J74" s="2573">
        <f>56.325+0.431+0.346</f>
        <v>57.101999999999997</v>
      </c>
      <c r="K74" s="486">
        <f>56.325-0.346</f>
        <v>55.979000000000006</v>
      </c>
      <c r="L74" s="486">
        <f>45.64+0.4</f>
        <v>46.04</v>
      </c>
      <c r="M74" s="1018"/>
    </row>
    <row r="75" spans="1:13" ht="16.5" hidden="1" customHeight="1" x14ac:dyDescent="0.2">
      <c r="A75" s="467" t="s">
        <v>381</v>
      </c>
      <c r="B75" s="474">
        <v>925</v>
      </c>
      <c r="C75" s="474">
        <v>103</v>
      </c>
      <c r="D75" s="474" t="s">
        <v>66</v>
      </c>
      <c r="E75" s="474">
        <v>500</v>
      </c>
      <c r="F75" s="480"/>
      <c r="G75" s="480">
        <v>220</v>
      </c>
      <c r="H75" s="494">
        <f>H76</f>
        <v>0</v>
      </c>
      <c r="I75" s="494">
        <f>I76</f>
        <v>0</v>
      </c>
      <c r="J75" s="2572">
        <f>J76</f>
        <v>0</v>
      </c>
      <c r="K75" s="494">
        <f>K76</f>
        <v>0</v>
      </c>
      <c r="L75" s="494">
        <f>L76</f>
        <v>0</v>
      </c>
      <c r="M75" s="1018"/>
    </row>
    <row r="76" spans="1:13" ht="16.5" hidden="1" customHeight="1" x14ac:dyDescent="0.2">
      <c r="A76" s="468" t="s">
        <v>383</v>
      </c>
      <c r="B76" s="475">
        <v>925</v>
      </c>
      <c r="C76" s="475">
        <v>103</v>
      </c>
      <c r="D76" s="475" t="s">
        <v>66</v>
      </c>
      <c r="E76" s="475">
        <v>500</v>
      </c>
      <c r="F76" s="481"/>
      <c r="G76" s="481">
        <v>226</v>
      </c>
      <c r="H76" s="492">
        <f>SUM(I76:L76)</f>
        <v>0</v>
      </c>
      <c r="I76" s="492">
        <v>0</v>
      </c>
      <c r="J76" s="756">
        <v>0</v>
      </c>
      <c r="K76" s="492">
        <v>0</v>
      </c>
      <c r="L76" s="492">
        <v>0</v>
      </c>
      <c r="M76" s="1018"/>
    </row>
    <row r="77" spans="1:13" ht="26.25" customHeight="1" x14ac:dyDescent="0.2">
      <c r="A77" s="465" t="s">
        <v>1133</v>
      </c>
      <c r="B77" s="829">
        <v>925</v>
      </c>
      <c r="C77" s="829">
        <v>103</v>
      </c>
      <c r="D77" s="829" t="s">
        <v>67</v>
      </c>
      <c r="E77" s="829"/>
      <c r="F77" s="2112"/>
      <c r="G77" s="831"/>
      <c r="H77" s="493">
        <f>H79</f>
        <v>264.60000000000002</v>
      </c>
      <c r="I77" s="493">
        <f t="shared" ref="I77:L78" si="6">I78</f>
        <v>66.150000000000006</v>
      </c>
      <c r="J77" s="493">
        <f t="shared" si="6"/>
        <v>66.150000000000006</v>
      </c>
      <c r="K77" s="493">
        <f t="shared" si="6"/>
        <v>66.150000000000006</v>
      </c>
      <c r="L77" s="493">
        <f t="shared" si="6"/>
        <v>66.150000000000006</v>
      </c>
      <c r="M77" s="1018"/>
    </row>
    <row r="78" spans="1:13" ht="42.75" customHeight="1" x14ac:dyDescent="0.2">
      <c r="A78" s="2098" t="s">
        <v>1359</v>
      </c>
      <c r="B78" s="830">
        <v>925</v>
      </c>
      <c r="C78" s="830">
        <v>103</v>
      </c>
      <c r="D78" s="830" t="s">
        <v>67</v>
      </c>
      <c r="E78" s="830"/>
      <c r="F78" s="2099">
        <v>100</v>
      </c>
      <c r="G78" s="2099"/>
      <c r="H78" s="496">
        <f>SUM(I78:L78)</f>
        <v>264.60000000000002</v>
      </c>
      <c r="I78" s="496">
        <f t="shared" si="6"/>
        <v>66.150000000000006</v>
      </c>
      <c r="J78" s="496">
        <f t="shared" si="6"/>
        <v>66.150000000000006</v>
      </c>
      <c r="K78" s="496">
        <f t="shared" si="6"/>
        <v>66.150000000000006</v>
      </c>
      <c r="L78" s="496">
        <f t="shared" si="6"/>
        <v>66.150000000000006</v>
      </c>
      <c r="M78" s="1018"/>
    </row>
    <row r="79" spans="1:13" ht="36" x14ac:dyDescent="0.2">
      <c r="A79" s="1278" t="s">
        <v>1356</v>
      </c>
      <c r="B79" s="1285">
        <v>925</v>
      </c>
      <c r="C79" s="1285">
        <v>103</v>
      </c>
      <c r="D79" s="1285" t="s">
        <v>67</v>
      </c>
      <c r="E79" s="1285">
        <v>500</v>
      </c>
      <c r="F79" s="1279">
        <f>F80</f>
        <v>123</v>
      </c>
      <c r="G79" s="1279"/>
      <c r="H79" s="1788">
        <f t="shared" ref="H79:L80" si="7">H80</f>
        <v>264.60000000000002</v>
      </c>
      <c r="I79" s="1788">
        <f t="shared" si="7"/>
        <v>66.150000000000006</v>
      </c>
      <c r="J79" s="1790">
        <f t="shared" si="7"/>
        <v>66.150000000000006</v>
      </c>
      <c r="K79" s="1788">
        <f t="shared" si="7"/>
        <v>66.150000000000006</v>
      </c>
      <c r="L79" s="1788">
        <f t="shared" si="7"/>
        <v>66.150000000000006</v>
      </c>
      <c r="M79" s="1018"/>
    </row>
    <row r="80" spans="1:13" x14ac:dyDescent="0.2">
      <c r="A80" s="467" t="s">
        <v>381</v>
      </c>
      <c r="B80" s="474">
        <v>925</v>
      </c>
      <c r="C80" s="474">
        <v>103</v>
      </c>
      <c r="D80" s="474" t="s">
        <v>68</v>
      </c>
      <c r="E80" s="474">
        <v>500</v>
      </c>
      <c r="F80" s="480">
        <f>F81</f>
        <v>123</v>
      </c>
      <c r="G80" s="480">
        <v>220</v>
      </c>
      <c r="H80" s="494">
        <f t="shared" si="7"/>
        <v>264.60000000000002</v>
      </c>
      <c r="I80" s="494">
        <f t="shared" si="7"/>
        <v>66.150000000000006</v>
      </c>
      <c r="J80" s="2572">
        <f t="shared" si="7"/>
        <v>66.150000000000006</v>
      </c>
      <c r="K80" s="494">
        <f t="shared" si="7"/>
        <v>66.150000000000006</v>
      </c>
      <c r="L80" s="494">
        <f t="shared" si="7"/>
        <v>66.150000000000006</v>
      </c>
      <c r="M80" s="1018"/>
    </row>
    <row r="81" spans="1:13" x14ac:dyDescent="0.2">
      <c r="A81" s="468" t="s">
        <v>383</v>
      </c>
      <c r="B81" s="475">
        <v>925</v>
      </c>
      <c r="C81" s="475">
        <v>103</v>
      </c>
      <c r="D81" s="475" t="s">
        <v>68</v>
      </c>
      <c r="E81" s="475">
        <v>500</v>
      </c>
      <c r="F81" s="481">
        <v>123</v>
      </c>
      <c r="G81" s="481">
        <v>226</v>
      </c>
      <c r="H81" s="492">
        <f>SUM(I81:L81)</f>
        <v>264.60000000000002</v>
      </c>
      <c r="I81" s="492">
        <v>66.150000000000006</v>
      </c>
      <c r="J81" s="756">
        <v>66.150000000000006</v>
      </c>
      <c r="K81" s="492">
        <v>66.150000000000006</v>
      </c>
      <c r="L81" s="492">
        <v>66.150000000000006</v>
      </c>
      <c r="M81" s="1018"/>
    </row>
    <row r="82" spans="1:13" ht="14.25" customHeight="1" x14ac:dyDescent="0.2">
      <c r="A82" s="464" t="s">
        <v>62</v>
      </c>
      <c r="B82" s="166">
        <v>925</v>
      </c>
      <c r="C82" s="166">
        <v>103</v>
      </c>
      <c r="D82" s="166" t="s">
        <v>529</v>
      </c>
      <c r="E82" s="166"/>
      <c r="F82" s="482"/>
      <c r="G82" s="482"/>
      <c r="H82" s="493">
        <f>SUM(I82:L82)</f>
        <v>2035.5260000000003</v>
      </c>
      <c r="I82" s="493">
        <f>I83+I89+I99</f>
        <v>591.00400000000002</v>
      </c>
      <c r="J82" s="493">
        <f>J83+J89+J99</f>
        <v>204.14699999999999</v>
      </c>
      <c r="K82" s="493">
        <f>K83+K89+K99</f>
        <v>1016.4350000000001</v>
      </c>
      <c r="L82" s="493">
        <f>L83+L89+L99</f>
        <v>223.94</v>
      </c>
      <c r="M82" s="1018"/>
    </row>
    <row r="83" spans="1:13" ht="42.75" customHeight="1" x14ac:dyDescent="0.2">
      <c r="A83" s="2098" t="s">
        <v>1359</v>
      </c>
      <c r="B83" s="830">
        <v>925</v>
      </c>
      <c r="C83" s="830">
        <v>103</v>
      </c>
      <c r="D83" s="830" t="s">
        <v>529</v>
      </c>
      <c r="E83" s="830"/>
      <c r="F83" s="2099">
        <v>100</v>
      </c>
      <c r="G83" s="2099"/>
      <c r="H83" s="496">
        <f>SUM(I83:L83)</f>
        <v>817.67800000000011</v>
      </c>
      <c r="I83" s="496">
        <f>I84</f>
        <v>201.01400000000001</v>
      </c>
      <c r="J83" s="496">
        <f>J84</f>
        <v>171.57499999999999</v>
      </c>
      <c r="K83" s="496">
        <f>K84</f>
        <v>244.52400000000003</v>
      </c>
      <c r="L83" s="496">
        <f>L84</f>
        <v>200.565</v>
      </c>
      <c r="M83" s="1018"/>
    </row>
    <row r="84" spans="1:13" x14ac:dyDescent="0.2">
      <c r="A84" s="1278" t="s">
        <v>1215</v>
      </c>
      <c r="B84" s="1285">
        <v>925</v>
      </c>
      <c r="C84" s="1285">
        <v>103</v>
      </c>
      <c r="D84" s="1285" t="s">
        <v>529</v>
      </c>
      <c r="E84" s="1285">
        <v>500</v>
      </c>
      <c r="F84" s="1279">
        <v>121</v>
      </c>
      <c r="G84" s="1282"/>
      <c r="H84" s="1788">
        <f t="shared" ref="H84:L85" si="8">H85</f>
        <v>817.67800000000011</v>
      </c>
      <c r="I84" s="1788">
        <f t="shared" si="8"/>
        <v>201.01400000000001</v>
      </c>
      <c r="J84" s="1790">
        <f t="shared" si="8"/>
        <v>171.57499999999999</v>
      </c>
      <c r="K84" s="1788">
        <f t="shared" si="8"/>
        <v>244.52400000000003</v>
      </c>
      <c r="L84" s="1788">
        <f t="shared" si="8"/>
        <v>200.565</v>
      </c>
      <c r="M84" s="1018"/>
    </row>
    <row r="85" spans="1:13" x14ac:dyDescent="0.2">
      <c r="A85" s="465" t="s">
        <v>380</v>
      </c>
      <c r="B85" s="156">
        <v>925</v>
      </c>
      <c r="C85" s="156">
        <v>103</v>
      </c>
      <c r="D85" s="156" t="s">
        <v>1217</v>
      </c>
      <c r="E85" s="156">
        <v>500</v>
      </c>
      <c r="F85" s="479">
        <v>121</v>
      </c>
      <c r="G85" s="479">
        <v>200</v>
      </c>
      <c r="H85" s="738">
        <f>H86</f>
        <v>817.67800000000011</v>
      </c>
      <c r="I85" s="738">
        <f t="shared" si="8"/>
        <v>201.01400000000001</v>
      </c>
      <c r="J85" s="1791">
        <f t="shared" si="8"/>
        <v>171.57499999999999</v>
      </c>
      <c r="K85" s="738">
        <f t="shared" si="8"/>
        <v>244.52400000000003</v>
      </c>
      <c r="L85" s="738">
        <f t="shared" si="8"/>
        <v>200.565</v>
      </c>
      <c r="M85" s="1018"/>
    </row>
    <row r="86" spans="1:13" x14ac:dyDescent="0.2">
      <c r="A86" s="467" t="s">
        <v>377</v>
      </c>
      <c r="B86" s="474">
        <v>925</v>
      </c>
      <c r="C86" s="474">
        <v>103</v>
      </c>
      <c r="D86" s="474" t="s">
        <v>1217</v>
      </c>
      <c r="E86" s="474">
        <v>500</v>
      </c>
      <c r="F86" s="480">
        <v>121</v>
      </c>
      <c r="G86" s="480">
        <v>210</v>
      </c>
      <c r="H86" s="485">
        <f>SUM(H87:H88)</f>
        <v>817.67800000000011</v>
      </c>
      <c r="I86" s="485">
        <f>SUM(I87:I88)</f>
        <v>201.01400000000001</v>
      </c>
      <c r="J86" s="2574">
        <f>SUM(J87:J88)</f>
        <v>171.57499999999999</v>
      </c>
      <c r="K86" s="485">
        <f>SUM(K87:K88)</f>
        <v>244.52400000000003</v>
      </c>
      <c r="L86" s="485">
        <f>SUM(L87:L88)</f>
        <v>200.565</v>
      </c>
      <c r="M86" s="1018"/>
    </row>
    <row r="87" spans="1:13" x14ac:dyDescent="0.2">
      <c r="A87" s="468" t="s">
        <v>125</v>
      </c>
      <c r="B87" s="475">
        <v>925</v>
      </c>
      <c r="C87" s="475">
        <v>103</v>
      </c>
      <c r="D87" s="475" t="s">
        <v>1217</v>
      </c>
      <c r="E87" s="475">
        <v>500</v>
      </c>
      <c r="F87" s="481">
        <v>121</v>
      </c>
      <c r="G87" s="481">
        <v>211</v>
      </c>
      <c r="H87" s="492">
        <f>SUM(I87:L87)</f>
        <v>628.01700000000005</v>
      </c>
      <c r="I87" s="486">
        <f>171.807-5.921-9.642</f>
        <v>156.244</v>
      </c>
      <c r="J87" s="2573">
        <f>171.806-17.763+9.642-31.907</f>
        <v>131.77799999999999</v>
      </c>
      <c r="K87" s="486">
        <f>171.806-17.762+31.907</f>
        <v>185.95100000000002</v>
      </c>
      <c r="L87" s="492">
        <f>171.806-17.762</f>
        <v>154.04400000000001</v>
      </c>
      <c r="M87" s="1018"/>
    </row>
    <row r="88" spans="1:13" ht="13.5" customHeight="1" x14ac:dyDescent="0.2">
      <c r="A88" s="468" t="s">
        <v>379</v>
      </c>
      <c r="B88" s="475">
        <v>925</v>
      </c>
      <c r="C88" s="475">
        <v>103</v>
      </c>
      <c r="D88" s="475" t="s">
        <v>1217</v>
      </c>
      <c r="E88" s="475">
        <v>500</v>
      </c>
      <c r="F88" s="481">
        <v>121</v>
      </c>
      <c r="G88" s="481">
        <v>213</v>
      </c>
      <c r="H88" s="492">
        <f>SUM(I88:L88)</f>
        <v>189.661</v>
      </c>
      <c r="I88" s="492">
        <f>51.886-1.788-5.328</f>
        <v>44.77</v>
      </c>
      <c r="J88" s="756">
        <f>51.885-5.364+5.328-12.052</f>
        <v>39.797000000000004</v>
      </c>
      <c r="K88" s="492">
        <f>51.886-5.365+12.052</f>
        <v>58.573</v>
      </c>
      <c r="L88" s="492">
        <f>51.885-5.364</f>
        <v>46.521000000000001</v>
      </c>
      <c r="M88" s="1018"/>
    </row>
    <row r="89" spans="1:13" ht="13.5" customHeight="1" x14ac:dyDescent="0.2">
      <c r="A89" s="487" t="s">
        <v>1357</v>
      </c>
      <c r="B89" s="830">
        <v>925</v>
      </c>
      <c r="C89" s="830">
        <v>103</v>
      </c>
      <c r="D89" s="830" t="s">
        <v>1217</v>
      </c>
      <c r="E89" s="830">
        <v>500</v>
      </c>
      <c r="F89" s="2099">
        <v>200</v>
      </c>
      <c r="G89" s="2099"/>
      <c r="H89" s="2575">
        <f>SUM(I89:L89)</f>
        <v>1214.6490000000001</v>
      </c>
      <c r="I89" s="2575">
        <f>I90</f>
        <v>389.99</v>
      </c>
      <c r="J89" s="2575">
        <f>J90</f>
        <v>32.572000000000017</v>
      </c>
      <c r="K89" s="2575">
        <f>K90</f>
        <v>768.7120000000001</v>
      </c>
      <c r="L89" s="2575">
        <f>L90</f>
        <v>23.375</v>
      </c>
      <c r="M89" s="1018"/>
    </row>
    <row r="90" spans="1:13" ht="13.5" customHeight="1" x14ac:dyDescent="0.2">
      <c r="A90" s="1278" t="s">
        <v>1201</v>
      </c>
      <c r="B90" s="1285">
        <v>925</v>
      </c>
      <c r="C90" s="1285">
        <v>103</v>
      </c>
      <c r="D90" s="1285" t="s">
        <v>1217</v>
      </c>
      <c r="E90" s="1285">
        <v>500</v>
      </c>
      <c r="F90" s="1279">
        <v>244</v>
      </c>
      <c r="G90" s="1279"/>
      <c r="H90" s="2576">
        <f>H91+H96</f>
        <v>1214.6490000000001</v>
      </c>
      <c r="I90" s="2576">
        <f>I91+I96</f>
        <v>389.99</v>
      </c>
      <c r="J90" s="2576">
        <f>J91+J96</f>
        <v>32.572000000000017</v>
      </c>
      <c r="K90" s="2576">
        <f>K91+K96</f>
        <v>768.7120000000001</v>
      </c>
      <c r="L90" s="2576">
        <f>L91+L96</f>
        <v>23.375</v>
      </c>
      <c r="M90" s="1018"/>
    </row>
    <row r="91" spans="1:13" ht="13.5" customHeight="1" x14ac:dyDescent="0.2">
      <c r="A91" s="465" t="s">
        <v>380</v>
      </c>
      <c r="B91" s="1283">
        <v>925</v>
      </c>
      <c r="C91" s="1283">
        <v>103</v>
      </c>
      <c r="D91" s="156" t="s">
        <v>1217</v>
      </c>
      <c r="E91" s="1283">
        <v>500</v>
      </c>
      <c r="F91" s="1284">
        <v>244</v>
      </c>
      <c r="G91" s="1284">
        <v>200</v>
      </c>
      <c r="H91" s="2577">
        <f>H92</f>
        <v>523.5</v>
      </c>
      <c r="I91" s="2577">
        <f>I92</f>
        <v>389.99</v>
      </c>
      <c r="J91" s="2578">
        <f>J92</f>
        <v>21.591999999999999</v>
      </c>
      <c r="K91" s="2577">
        <f>K92</f>
        <v>88.543000000000006</v>
      </c>
      <c r="L91" s="2577">
        <f>L92</f>
        <v>23.375</v>
      </c>
      <c r="M91" s="1018"/>
    </row>
    <row r="92" spans="1:13" ht="13.5" customHeight="1" x14ac:dyDescent="0.2">
      <c r="A92" s="467" t="s">
        <v>381</v>
      </c>
      <c r="B92" s="474">
        <v>925</v>
      </c>
      <c r="C92" s="474">
        <v>103</v>
      </c>
      <c r="D92" s="474" t="s">
        <v>1217</v>
      </c>
      <c r="E92" s="474">
        <v>500</v>
      </c>
      <c r="F92" s="480">
        <v>244</v>
      </c>
      <c r="G92" s="480">
        <v>220</v>
      </c>
      <c r="H92" s="952">
        <f>SUM(I92:L92)</f>
        <v>523.5</v>
      </c>
      <c r="I92" s="952">
        <f>I93+I94+I95</f>
        <v>389.99</v>
      </c>
      <c r="J92" s="952">
        <f>J93+J94+J95</f>
        <v>21.591999999999999</v>
      </c>
      <c r="K92" s="952">
        <f>K93+K94+K95</f>
        <v>88.543000000000006</v>
      </c>
      <c r="L92" s="952">
        <f>L93+L94+L95</f>
        <v>23.375</v>
      </c>
      <c r="M92" s="1018"/>
    </row>
    <row r="93" spans="1:13" ht="13.5" customHeight="1" x14ac:dyDescent="0.2">
      <c r="A93" s="468" t="s">
        <v>132</v>
      </c>
      <c r="B93" s="475">
        <v>925</v>
      </c>
      <c r="C93" s="475">
        <v>103</v>
      </c>
      <c r="D93" s="475" t="s">
        <v>1217</v>
      </c>
      <c r="E93" s="475">
        <v>500</v>
      </c>
      <c r="F93" s="481">
        <v>244</v>
      </c>
      <c r="G93" s="481">
        <v>223</v>
      </c>
      <c r="H93" s="1802">
        <f>SUM(I93:L93)</f>
        <v>85.82</v>
      </c>
      <c r="I93" s="1803">
        <f>21.455-11.262</f>
        <v>10.192999999999998</v>
      </c>
      <c r="J93" s="1803">
        <f>21.455+11.262-17.427</f>
        <v>15.29</v>
      </c>
      <c r="K93" s="1802">
        <f>21.455+17.427</f>
        <v>38.881999999999998</v>
      </c>
      <c r="L93" s="1802">
        <v>21.454999999999998</v>
      </c>
      <c r="M93" s="1018"/>
    </row>
    <row r="94" spans="1:13" ht="13.5" customHeight="1" x14ac:dyDescent="0.2">
      <c r="A94" s="468" t="s">
        <v>382</v>
      </c>
      <c r="B94" s="475">
        <v>925</v>
      </c>
      <c r="C94" s="475">
        <v>103</v>
      </c>
      <c r="D94" s="475" t="s">
        <v>1217</v>
      </c>
      <c r="E94" s="475">
        <v>500</v>
      </c>
      <c r="F94" s="481">
        <v>244</v>
      </c>
      <c r="G94" s="481">
        <v>225</v>
      </c>
      <c r="H94" s="1802">
        <f>SUM(I94:L94)</f>
        <v>407.68</v>
      </c>
      <c r="I94" s="1803">
        <f>1.92+400-37.723</f>
        <v>364.197</v>
      </c>
      <c r="J94" s="1803">
        <f>1.92+37.723-36.886</f>
        <v>2.7569999999999979</v>
      </c>
      <c r="K94" s="1802">
        <f>1.92+36.886</f>
        <v>38.806000000000004</v>
      </c>
      <c r="L94" s="1802">
        <v>1.92</v>
      </c>
      <c r="M94" s="1018"/>
    </row>
    <row r="95" spans="1:13" ht="13.5" customHeight="1" x14ac:dyDescent="0.2">
      <c r="A95" s="468" t="s">
        <v>383</v>
      </c>
      <c r="B95" s="475">
        <v>925</v>
      </c>
      <c r="C95" s="475">
        <v>103</v>
      </c>
      <c r="D95" s="475" t="s">
        <v>1217</v>
      </c>
      <c r="E95" s="475">
        <v>500</v>
      </c>
      <c r="F95" s="481">
        <v>244</v>
      </c>
      <c r="G95" s="481">
        <v>226</v>
      </c>
      <c r="H95" s="643">
        <f t="shared" ref="H95:H102" si="9">SUM(I95:L95)</f>
        <v>30</v>
      </c>
      <c r="I95" s="643">
        <f>15.6</f>
        <v>15.6</v>
      </c>
      <c r="J95" s="964">
        <f>30-15.6-10.855</f>
        <v>3.5449999999999999</v>
      </c>
      <c r="K95" s="643">
        <f>10.855</f>
        <v>10.855</v>
      </c>
      <c r="L95" s="643">
        <v>0</v>
      </c>
      <c r="M95" s="1018"/>
    </row>
    <row r="96" spans="1:13" ht="13.5" customHeight="1" x14ac:dyDescent="0.2">
      <c r="A96" s="465" t="s">
        <v>384</v>
      </c>
      <c r="B96" s="156">
        <v>925</v>
      </c>
      <c r="C96" s="156">
        <v>103</v>
      </c>
      <c r="D96" s="156" t="s">
        <v>1217</v>
      </c>
      <c r="E96" s="156">
        <v>500</v>
      </c>
      <c r="F96" s="755">
        <v>244</v>
      </c>
      <c r="G96" s="479">
        <v>300</v>
      </c>
      <c r="H96" s="738">
        <f t="shared" si="9"/>
        <v>691.14900000000011</v>
      </c>
      <c r="I96" s="961">
        <f>SUM(I97:I98)</f>
        <v>0</v>
      </c>
      <c r="J96" s="961">
        <f>SUM(J97:J98)</f>
        <v>10.980000000000018</v>
      </c>
      <c r="K96" s="738">
        <f>SUM(K97:K98)</f>
        <v>680.1690000000001</v>
      </c>
      <c r="L96" s="738">
        <f>SUM(L97:L98)</f>
        <v>0</v>
      </c>
      <c r="M96" s="1018"/>
    </row>
    <row r="97" spans="1:13" ht="13.5" customHeight="1" x14ac:dyDescent="0.2">
      <c r="A97" s="467" t="s">
        <v>279</v>
      </c>
      <c r="B97" s="474">
        <v>968</v>
      </c>
      <c r="C97" s="474">
        <v>103</v>
      </c>
      <c r="D97" s="474" t="s">
        <v>1217</v>
      </c>
      <c r="E97" s="474">
        <v>500</v>
      </c>
      <c r="F97" s="481">
        <v>244</v>
      </c>
      <c r="G97" s="481">
        <v>310</v>
      </c>
      <c r="H97" s="494">
        <f t="shared" si="9"/>
        <v>627.08900000000006</v>
      </c>
      <c r="I97" s="958">
        <f>550+77.089-627.089</f>
        <v>0</v>
      </c>
      <c r="J97" s="958">
        <f>627.089-616.109</f>
        <v>10.980000000000018</v>
      </c>
      <c r="K97" s="494">
        <f>616.109</f>
        <v>616.10900000000004</v>
      </c>
      <c r="L97" s="494">
        <v>0</v>
      </c>
      <c r="M97" s="1018"/>
    </row>
    <row r="98" spans="1:13" ht="13.5" customHeight="1" x14ac:dyDescent="0.2">
      <c r="A98" s="467" t="s">
        <v>280</v>
      </c>
      <c r="B98" s="474">
        <v>925</v>
      </c>
      <c r="C98" s="474">
        <v>103</v>
      </c>
      <c r="D98" s="474" t="s">
        <v>1217</v>
      </c>
      <c r="E98" s="474">
        <v>500</v>
      </c>
      <c r="F98" s="481">
        <v>244</v>
      </c>
      <c r="G98" s="481">
        <v>340</v>
      </c>
      <c r="H98" s="494">
        <f t="shared" si="9"/>
        <v>64.06</v>
      </c>
      <c r="I98" s="958">
        <f>10-10</f>
        <v>0</v>
      </c>
      <c r="J98" s="958">
        <f>64.06-64.06</f>
        <v>0</v>
      </c>
      <c r="K98" s="494">
        <f>64.06</f>
        <v>64.06</v>
      </c>
      <c r="L98" s="494">
        <v>0</v>
      </c>
      <c r="M98" s="1018"/>
    </row>
    <row r="99" spans="1:13" ht="13.5" customHeight="1" x14ac:dyDescent="0.2">
      <c r="A99" s="487" t="s">
        <v>1360</v>
      </c>
      <c r="B99" s="830">
        <v>925</v>
      </c>
      <c r="C99" s="830">
        <v>103</v>
      </c>
      <c r="D99" s="830" t="s">
        <v>529</v>
      </c>
      <c r="E99" s="830">
        <v>500</v>
      </c>
      <c r="F99" s="2099">
        <v>800</v>
      </c>
      <c r="G99" s="2099"/>
      <c r="H99" s="496">
        <f t="shared" si="9"/>
        <v>3.1989999999999998</v>
      </c>
      <c r="I99" s="960">
        <f t="shared" ref="I99:L101" si="10">I100</f>
        <v>0</v>
      </c>
      <c r="J99" s="960">
        <f t="shared" si="10"/>
        <v>0</v>
      </c>
      <c r="K99" s="960">
        <f t="shared" si="10"/>
        <v>3.1989999999999998</v>
      </c>
      <c r="L99" s="496">
        <f t="shared" si="10"/>
        <v>0</v>
      </c>
      <c r="M99" s="1018"/>
    </row>
    <row r="100" spans="1:13" ht="13.5" customHeight="1" x14ac:dyDescent="0.2">
      <c r="A100" s="1278" t="s">
        <v>1451</v>
      </c>
      <c r="B100" s="1285">
        <v>925</v>
      </c>
      <c r="C100" s="1285">
        <v>103</v>
      </c>
      <c r="D100" s="1285" t="s">
        <v>529</v>
      </c>
      <c r="E100" s="1285">
        <v>500</v>
      </c>
      <c r="F100" s="1279">
        <v>852</v>
      </c>
      <c r="G100" s="2106"/>
      <c r="H100" s="1788">
        <f t="shared" si="9"/>
        <v>3.1989999999999998</v>
      </c>
      <c r="I100" s="1789">
        <f t="shared" si="10"/>
        <v>0</v>
      </c>
      <c r="J100" s="1789">
        <f t="shared" si="10"/>
        <v>0</v>
      </c>
      <c r="K100" s="1789">
        <f t="shared" si="10"/>
        <v>3.1989999999999998</v>
      </c>
      <c r="L100" s="1788">
        <f t="shared" si="10"/>
        <v>0</v>
      </c>
      <c r="M100" s="1018"/>
    </row>
    <row r="101" spans="1:13" ht="13.5" customHeight="1" x14ac:dyDescent="0.2">
      <c r="A101" s="465" t="s">
        <v>380</v>
      </c>
      <c r="B101" s="156">
        <v>925</v>
      </c>
      <c r="C101" s="156">
        <v>103</v>
      </c>
      <c r="D101" s="156" t="s">
        <v>1217</v>
      </c>
      <c r="E101" s="156">
        <v>500</v>
      </c>
      <c r="F101" s="479">
        <v>852</v>
      </c>
      <c r="G101" s="479">
        <v>200</v>
      </c>
      <c r="H101" s="494">
        <f t="shared" si="9"/>
        <v>3.1989999999999998</v>
      </c>
      <c r="I101" s="958">
        <f t="shared" si="10"/>
        <v>0</v>
      </c>
      <c r="J101" s="958">
        <f t="shared" si="10"/>
        <v>0</v>
      </c>
      <c r="K101" s="958">
        <f t="shared" si="10"/>
        <v>3.1989999999999998</v>
      </c>
      <c r="L101" s="494">
        <f t="shared" si="10"/>
        <v>0</v>
      </c>
      <c r="M101" s="1018"/>
    </row>
    <row r="102" spans="1:13" ht="13.5" customHeight="1" thickBot="1" x14ac:dyDescent="0.25">
      <c r="A102" s="467" t="s">
        <v>278</v>
      </c>
      <c r="B102" s="474">
        <v>925</v>
      </c>
      <c r="C102" s="474">
        <v>103</v>
      </c>
      <c r="D102" s="474" t="s">
        <v>1217</v>
      </c>
      <c r="E102" s="474">
        <v>500</v>
      </c>
      <c r="F102" s="480">
        <v>852</v>
      </c>
      <c r="G102" s="480">
        <v>290</v>
      </c>
      <c r="H102" s="494">
        <f t="shared" si="9"/>
        <v>3.1989999999999998</v>
      </c>
      <c r="I102" s="494">
        <f>3.199-3.199</f>
        <v>0</v>
      </c>
      <c r="J102" s="2572">
        <f>3.199-3.199</f>
        <v>0</v>
      </c>
      <c r="K102" s="494">
        <v>3.1989999999999998</v>
      </c>
      <c r="L102" s="494">
        <v>0</v>
      </c>
      <c r="M102" s="1018"/>
    </row>
    <row r="103" spans="1:13" ht="15" hidden="1" customHeight="1" x14ac:dyDescent="0.2">
      <c r="A103" s="488" t="s">
        <v>464</v>
      </c>
      <c r="B103" s="473">
        <v>925</v>
      </c>
      <c r="C103" s="473">
        <v>113</v>
      </c>
      <c r="D103" s="473"/>
      <c r="E103" s="473"/>
      <c r="F103" s="478"/>
      <c r="G103" s="478"/>
      <c r="H103" s="2688">
        <f>SUM(I103:L103)</f>
        <v>0</v>
      </c>
      <c r="I103" s="2687">
        <f>I104</f>
        <v>0</v>
      </c>
      <c r="J103" s="2687">
        <f>J104</f>
        <v>0</v>
      </c>
      <c r="K103" s="2687">
        <f>K104</f>
        <v>0</v>
      </c>
      <c r="L103" s="2687">
        <f>L104</f>
        <v>0</v>
      </c>
      <c r="M103" s="1018"/>
    </row>
    <row r="104" spans="1:13" ht="39" hidden="1" customHeight="1" x14ac:dyDescent="0.2">
      <c r="A104" s="487" t="s">
        <v>1138</v>
      </c>
      <c r="B104" s="166">
        <v>925</v>
      </c>
      <c r="C104" s="166">
        <v>113</v>
      </c>
      <c r="D104" s="166" t="str">
        <f>D106</f>
        <v>092 05 00</v>
      </c>
      <c r="E104" s="166"/>
      <c r="F104" s="482"/>
      <c r="G104" s="482"/>
      <c r="H104" s="832">
        <f>H106</f>
        <v>0</v>
      </c>
      <c r="I104" s="959">
        <f t="shared" ref="I104:L107" si="11">I105</f>
        <v>0</v>
      </c>
      <c r="J104" s="959">
        <f t="shared" si="11"/>
        <v>0</v>
      </c>
      <c r="K104" s="959">
        <f t="shared" si="11"/>
        <v>0</v>
      </c>
      <c r="L104" s="832">
        <f t="shared" si="11"/>
        <v>0</v>
      </c>
      <c r="M104" s="1018"/>
    </row>
    <row r="105" spans="1:13" ht="13.5" hidden="1" customHeight="1" x14ac:dyDescent="0.2">
      <c r="A105" s="487" t="s">
        <v>1360</v>
      </c>
      <c r="B105" s="1285">
        <v>925</v>
      </c>
      <c r="C105" s="1285">
        <v>113</v>
      </c>
      <c r="D105" s="1285" t="str">
        <f>D106</f>
        <v>092 05 00</v>
      </c>
      <c r="E105" s="1289">
        <v>13</v>
      </c>
      <c r="F105" s="1290">
        <v>800</v>
      </c>
      <c r="G105" s="482"/>
      <c r="H105" s="832">
        <f>SUM(I105:L105)</f>
        <v>0</v>
      </c>
      <c r="I105" s="959">
        <f t="shared" si="11"/>
        <v>0</v>
      </c>
      <c r="J105" s="959">
        <f t="shared" si="11"/>
        <v>0</v>
      </c>
      <c r="K105" s="959">
        <f t="shared" si="11"/>
        <v>0</v>
      </c>
      <c r="L105" s="832">
        <f t="shared" si="11"/>
        <v>0</v>
      </c>
      <c r="M105" s="1018"/>
    </row>
    <row r="106" spans="1:13" ht="13.5" hidden="1" customHeight="1" x14ac:dyDescent="0.2">
      <c r="A106" s="1278" t="s">
        <v>1461</v>
      </c>
      <c r="B106" s="1285">
        <v>925</v>
      </c>
      <c r="C106" s="1285">
        <v>113</v>
      </c>
      <c r="D106" s="1285" t="str">
        <f>D107</f>
        <v>092 05 00</v>
      </c>
      <c r="E106" s="1289">
        <v>13</v>
      </c>
      <c r="F106" s="1290">
        <v>853</v>
      </c>
      <c r="G106" s="1279"/>
      <c r="H106" s="1286">
        <f>H107</f>
        <v>0</v>
      </c>
      <c r="I106" s="1287">
        <f t="shared" si="11"/>
        <v>0</v>
      </c>
      <c r="J106" s="1287">
        <f t="shared" si="11"/>
        <v>0</v>
      </c>
      <c r="K106" s="1286">
        <f t="shared" si="11"/>
        <v>0</v>
      </c>
      <c r="L106" s="1286">
        <f t="shared" si="11"/>
        <v>0</v>
      </c>
      <c r="M106" s="1018"/>
    </row>
    <row r="107" spans="1:13" ht="13.5" hidden="1" customHeight="1" x14ac:dyDescent="0.2">
      <c r="A107" s="465" t="s">
        <v>380</v>
      </c>
      <c r="B107" s="156">
        <v>925</v>
      </c>
      <c r="C107" s="156">
        <v>113</v>
      </c>
      <c r="D107" s="156" t="str">
        <f>D108</f>
        <v>092 05 00</v>
      </c>
      <c r="E107" s="962">
        <v>13</v>
      </c>
      <c r="F107" s="1272">
        <v>853</v>
      </c>
      <c r="G107" s="479">
        <v>200</v>
      </c>
      <c r="H107" s="1804">
        <f>H108</f>
        <v>0</v>
      </c>
      <c r="I107" s="1805">
        <f t="shared" si="11"/>
        <v>0</v>
      </c>
      <c r="J107" s="1805">
        <f t="shared" si="11"/>
        <v>0</v>
      </c>
      <c r="K107" s="1804">
        <f t="shared" si="11"/>
        <v>0</v>
      </c>
      <c r="L107" s="1804">
        <f t="shared" si="11"/>
        <v>0</v>
      </c>
      <c r="M107" s="1018"/>
    </row>
    <row r="108" spans="1:13" ht="13.5" hidden="1" customHeight="1" thickBot="1" x14ac:dyDescent="0.25">
      <c r="A108" s="467" t="s">
        <v>278</v>
      </c>
      <c r="B108" s="474">
        <v>925</v>
      </c>
      <c r="C108" s="474">
        <v>113</v>
      </c>
      <c r="D108" s="156" t="s">
        <v>524</v>
      </c>
      <c r="E108" s="963">
        <v>13</v>
      </c>
      <c r="F108" s="1273">
        <v>853</v>
      </c>
      <c r="G108" s="480">
        <v>290</v>
      </c>
      <c r="H108" s="2657">
        <f>SUM(I108:L108)</f>
        <v>0</v>
      </c>
      <c r="I108" s="2656">
        <v>0</v>
      </c>
      <c r="J108" s="2656">
        <v>0</v>
      </c>
      <c r="K108" s="2657">
        <v>0</v>
      </c>
      <c r="L108" s="2657">
        <v>0</v>
      </c>
      <c r="M108" s="1018"/>
    </row>
    <row r="109" spans="1:13" ht="24" customHeight="1" thickBot="1" x14ac:dyDescent="0.3">
      <c r="A109" s="864" t="s">
        <v>348</v>
      </c>
      <c r="B109" s="985"/>
      <c r="C109" s="985"/>
      <c r="D109" s="985"/>
      <c r="E109" s="985"/>
      <c r="F109" s="985"/>
      <c r="G109" s="1762"/>
      <c r="H109" s="1765">
        <f>H57</f>
        <v>4378.8</v>
      </c>
      <c r="I109" s="1765">
        <f>I57</f>
        <v>1193.9920000000002</v>
      </c>
      <c r="J109" s="1766">
        <f>J57</f>
        <v>809.55000000000007</v>
      </c>
      <c r="K109" s="1765">
        <f>K57</f>
        <v>1602.2410000000002</v>
      </c>
      <c r="L109" s="1765">
        <f>L57</f>
        <v>773.01699999999994</v>
      </c>
      <c r="M109" s="1018"/>
    </row>
    <row r="110" spans="1:13" ht="24" customHeight="1" x14ac:dyDescent="0.2">
      <c r="A110" t="s">
        <v>388</v>
      </c>
      <c r="I110" s="3048" t="s">
        <v>1465</v>
      </c>
      <c r="J110" s="3048"/>
      <c r="K110" s="3048"/>
      <c r="L110" s="984"/>
      <c r="M110" s="1018"/>
    </row>
    <row r="111" spans="1:13" ht="24" customHeight="1" x14ac:dyDescent="0.2">
      <c r="A111" s="3041" t="s">
        <v>389</v>
      </c>
      <c r="B111" s="3041"/>
      <c r="I111" s="2978" t="s">
        <v>1430</v>
      </c>
      <c r="J111" s="2978"/>
      <c r="K111" s="2978"/>
      <c r="M111" s="1018"/>
    </row>
    <row r="112" spans="1:13" ht="13.5" customHeight="1" x14ac:dyDescent="0.2">
      <c r="A112" s="986"/>
      <c r="B112" s="983"/>
      <c r="C112" s="983"/>
      <c r="D112" s="983"/>
      <c r="E112" s="983"/>
      <c r="F112" s="983"/>
      <c r="G112" s="983"/>
      <c r="H112" s="984"/>
      <c r="I112" s="984"/>
      <c r="J112" s="984"/>
      <c r="K112" s="984"/>
      <c r="L112" s="984"/>
      <c r="M112" s="1018"/>
    </row>
    <row r="113" spans="1:12" ht="13.5" customHeight="1" x14ac:dyDescent="0.2">
      <c r="A113" s="986"/>
      <c r="B113" s="983"/>
      <c r="C113" s="983"/>
      <c r="D113" s="983"/>
      <c r="E113" s="983"/>
      <c r="F113" s="983"/>
      <c r="G113" s="983"/>
      <c r="H113" s="984"/>
      <c r="I113" s="984"/>
      <c r="J113" s="984"/>
      <c r="K113" s="984"/>
      <c r="L113" s="984"/>
    </row>
    <row r="114" spans="1:12" ht="13.5" customHeight="1" x14ac:dyDescent="0.2">
      <c r="A114" s="986"/>
      <c r="B114" s="983"/>
      <c r="C114" s="983"/>
      <c r="D114" s="2979" t="s">
        <v>1435</v>
      </c>
      <c r="E114" s="2979"/>
      <c r="F114" s="2979"/>
      <c r="G114" s="2979"/>
      <c r="H114" s="2979"/>
      <c r="I114" s="2979"/>
      <c r="J114" s="2979"/>
      <c r="K114" s="2979"/>
      <c r="L114" s="2979"/>
    </row>
    <row r="115" spans="1:12" ht="13.5" customHeight="1" x14ac:dyDescent="0.2">
      <c r="A115" s="986"/>
      <c r="B115" s="983"/>
      <c r="C115" s="983"/>
      <c r="D115" s="2979" t="s">
        <v>1542</v>
      </c>
      <c r="E115" s="2979"/>
      <c r="F115" s="2979"/>
      <c r="G115" s="2979"/>
      <c r="H115" s="2979"/>
      <c r="I115" s="2979"/>
      <c r="J115" s="2979"/>
      <c r="K115" s="2979"/>
      <c r="L115" s="2979"/>
    </row>
    <row r="116" spans="1:12" ht="13.5" customHeight="1" x14ac:dyDescent="0.2">
      <c r="A116" s="986"/>
      <c r="B116" s="983"/>
      <c r="C116" s="983"/>
      <c r="D116" s="2979" t="s">
        <v>1555</v>
      </c>
      <c r="E116" s="2979"/>
      <c r="F116" s="2979"/>
      <c r="G116" s="2979"/>
      <c r="H116" s="2979"/>
      <c r="I116" s="2979"/>
      <c r="J116" s="2979"/>
      <c r="K116" s="2979"/>
      <c r="L116" s="2979"/>
    </row>
    <row r="117" spans="1:12" ht="13.5" customHeight="1" x14ac:dyDescent="0.2">
      <c r="A117" s="986"/>
      <c r="B117" s="983"/>
      <c r="C117" s="983"/>
      <c r="D117" s="2979" t="s">
        <v>1572</v>
      </c>
      <c r="E117" s="2979"/>
      <c r="F117" s="2979"/>
      <c r="G117" s="2979"/>
      <c r="H117" s="2979"/>
      <c r="I117" s="2979"/>
      <c r="J117" s="2979"/>
      <c r="K117" s="2979"/>
      <c r="L117" s="2979"/>
    </row>
    <row r="118" spans="1:12" ht="13.5" customHeight="1" x14ac:dyDescent="0.2">
      <c r="A118" s="986"/>
      <c r="B118" s="983"/>
      <c r="C118" s="983"/>
      <c r="D118" s="2979" t="s">
        <v>1573</v>
      </c>
      <c r="E118" s="2979"/>
      <c r="F118" s="2979"/>
      <c r="G118" s="2979"/>
      <c r="H118" s="2979"/>
      <c r="I118" s="2979"/>
      <c r="J118" s="2979"/>
      <c r="K118" s="2979"/>
      <c r="L118" s="2979"/>
    </row>
    <row r="119" spans="1:12" ht="13.5" customHeight="1" x14ac:dyDescent="0.2">
      <c r="A119" s="986"/>
      <c r="B119" s="983"/>
      <c r="C119" s="983"/>
      <c r="D119" s="2979" t="s">
        <v>1583</v>
      </c>
      <c r="E119" s="2979"/>
      <c r="F119" s="2979"/>
      <c r="G119" s="2979"/>
      <c r="H119" s="2979"/>
      <c r="I119" s="2979"/>
      <c r="J119" s="2979"/>
      <c r="K119" s="2979"/>
      <c r="L119" s="2979"/>
    </row>
    <row r="120" spans="1:12" ht="13.5" customHeight="1" x14ac:dyDescent="0.2">
      <c r="A120" s="986"/>
      <c r="B120" s="983"/>
      <c r="C120" s="983"/>
      <c r="D120" s="2979" t="s">
        <v>1584</v>
      </c>
      <c r="E120" s="2979"/>
      <c r="F120" s="2979"/>
      <c r="G120" s="2979"/>
      <c r="H120" s="2979"/>
      <c r="I120" s="2979"/>
      <c r="J120" s="2979"/>
      <c r="K120" s="2979"/>
      <c r="L120" s="2979"/>
    </row>
    <row r="121" spans="1:12" ht="13.5" customHeight="1" x14ac:dyDescent="0.2">
      <c r="A121" s="986"/>
      <c r="B121" s="983"/>
      <c r="C121" s="983"/>
      <c r="D121" s="2979" t="s">
        <v>1596</v>
      </c>
      <c r="E121" s="2979"/>
      <c r="F121" s="2979"/>
      <c r="G121" s="2979"/>
      <c r="H121" s="2979"/>
      <c r="I121" s="2979"/>
      <c r="J121" s="2979"/>
      <c r="K121" s="2979"/>
      <c r="L121" s="2979"/>
    </row>
    <row r="122" spans="1:12" ht="13.5" customHeight="1" x14ac:dyDescent="0.2">
      <c r="A122" s="986"/>
      <c r="B122" s="983"/>
      <c r="C122" s="983"/>
      <c r="D122" s="2979" t="s">
        <v>1606</v>
      </c>
      <c r="E122" s="2979"/>
      <c r="F122" s="2979"/>
      <c r="G122" s="2979"/>
      <c r="H122" s="2979"/>
      <c r="I122" s="2979"/>
      <c r="J122" s="2979"/>
      <c r="K122" s="2979"/>
      <c r="L122" s="2979"/>
    </row>
    <row r="123" spans="1:12" ht="13.5" customHeight="1" x14ac:dyDescent="0.2">
      <c r="A123" s="986"/>
      <c r="B123" s="983"/>
      <c r="C123" s="983"/>
      <c r="D123" s="2979" t="s">
        <v>1609</v>
      </c>
      <c r="E123" s="2979"/>
      <c r="F123" s="2979"/>
      <c r="G123" s="2979"/>
      <c r="H123" s="2979"/>
      <c r="I123" s="2979"/>
      <c r="J123" s="2979"/>
      <c r="K123" s="2979"/>
      <c r="L123" s="2979"/>
    </row>
    <row r="124" spans="1:12" ht="13.5" customHeight="1" x14ac:dyDescent="0.2">
      <c r="A124" s="986"/>
      <c r="B124" s="983"/>
      <c r="C124" s="983"/>
      <c r="D124" s="2979" t="s">
        <v>1616</v>
      </c>
      <c r="E124" s="2979"/>
      <c r="F124" s="2979"/>
      <c r="G124" s="2979"/>
      <c r="H124" s="2979"/>
      <c r="I124" s="2979"/>
      <c r="J124" s="2979"/>
      <c r="K124" s="2979"/>
      <c r="L124" s="2979"/>
    </row>
    <row r="125" spans="1:12" ht="13.5" customHeight="1" x14ac:dyDescent="0.2">
      <c r="A125" s="986"/>
      <c r="B125" s="983"/>
      <c r="C125" s="983"/>
      <c r="D125" s="2979" t="s">
        <v>1617</v>
      </c>
      <c r="E125" s="2979"/>
      <c r="F125" s="2979"/>
      <c r="G125" s="2979"/>
      <c r="H125" s="2979"/>
      <c r="I125" s="2979"/>
      <c r="J125" s="2979"/>
      <c r="K125" s="2979"/>
      <c r="L125" s="2979"/>
    </row>
    <row r="126" spans="1:12" ht="13.5" hidden="1" customHeight="1" x14ac:dyDescent="0.2">
      <c r="A126" s="986"/>
      <c r="B126" s="983"/>
      <c r="C126" s="983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3.5" hidden="1" customHeight="1" x14ac:dyDescent="0.2">
      <c r="A127" s="986"/>
      <c r="B127" s="983"/>
      <c r="C127" s="983"/>
    </row>
    <row r="128" spans="1:12" ht="13.5" hidden="1" customHeight="1" x14ac:dyDescent="0.2">
      <c r="A128" s="986"/>
      <c r="B128" s="983"/>
      <c r="C128" s="983"/>
      <c r="D128" s="2979"/>
      <c r="E128" s="2979"/>
      <c r="F128" s="2979"/>
      <c r="G128" s="2979"/>
      <c r="H128" s="2979"/>
      <c r="I128" s="2979"/>
      <c r="J128" s="2979"/>
      <c r="K128" s="2979"/>
      <c r="L128" s="2979"/>
    </row>
    <row r="129" spans="1:12" ht="13.5" hidden="1" customHeight="1" x14ac:dyDescent="0.2">
      <c r="A129" s="986"/>
      <c r="B129" s="983"/>
      <c r="C129" s="983"/>
      <c r="D129" s="2979"/>
      <c r="E129" s="2979"/>
      <c r="F129" s="2979"/>
      <c r="G129" s="2979"/>
      <c r="H129" s="2979"/>
      <c r="I129" s="2979"/>
      <c r="J129" s="2979"/>
      <c r="K129" s="2979"/>
      <c r="L129" s="2979"/>
    </row>
    <row r="130" spans="1:12" ht="13.5" hidden="1" customHeight="1" x14ac:dyDescent="0.2">
      <c r="A130" s="986"/>
      <c r="B130" s="983"/>
      <c r="C130" s="983"/>
      <c r="D130" s="2979"/>
      <c r="E130" s="2979"/>
      <c r="F130" s="2979"/>
      <c r="G130" s="2979"/>
      <c r="H130" s="2979"/>
      <c r="I130" s="2979"/>
      <c r="J130" s="2979"/>
      <c r="K130" s="2979"/>
      <c r="L130" s="2979"/>
    </row>
    <row r="131" spans="1:12" ht="13.5" hidden="1" customHeight="1" x14ac:dyDescent="0.2">
      <c r="A131" s="986"/>
      <c r="B131" s="983"/>
      <c r="C131" s="983"/>
      <c r="D131" s="2979"/>
      <c r="E131" s="2979"/>
      <c r="F131" s="2979"/>
      <c r="G131" s="2979"/>
      <c r="H131" s="2979"/>
      <c r="I131" s="2979"/>
      <c r="J131" s="2979"/>
      <c r="K131" s="2979"/>
      <c r="L131" s="2979"/>
    </row>
    <row r="132" spans="1:12" ht="13.5" hidden="1" customHeight="1" x14ac:dyDescent="0.2">
      <c r="A132" s="986"/>
      <c r="B132" s="983"/>
      <c r="C132" s="983"/>
      <c r="D132" s="2979"/>
      <c r="E132" s="2979"/>
      <c r="F132" s="2979"/>
      <c r="G132" s="2979"/>
      <c r="H132" s="2979"/>
      <c r="I132" s="2979"/>
      <c r="J132" s="2979"/>
      <c r="K132" s="2979"/>
      <c r="L132" s="2979"/>
    </row>
    <row r="133" spans="1:12" ht="13.5" customHeight="1" x14ac:dyDescent="0.25">
      <c r="A133" s="3046" t="s">
        <v>104</v>
      </c>
      <c r="B133" s="3046"/>
      <c r="C133" s="3046"/>
      <c r="D133" s="3046"/>
      <c r="E133" s="3046"/>
      <c r="F133" s="3046"/>
      <c r="G133" s="3046"/>
      <c r="H133" s="3046"/>
      <c r="I133" s="3046"/>
      <c r="J133" s="3046"/>
      <c r="K133" s="3046"/>
      <c r="L133" s="3046"/>
    </row>
    <row r="134" spans="1:12" ht="13.5" customHeight="1" thickBot="1" x14ac:dyDescent="0.3">
      <c r="A134" s="3046" t="s">
        <v>1608</v>
      </c>
      <c r="B134" s="3046"/>
      <c r="C134" s="3046"/>
      <c r="D134" s="3046"/>
      <c r="E134" s="3046"/>
      <c r="F134" s="3046"/>
      <c r="G134" s="3046"/>
      <c r="H134" s="3046"/>
      <c r="I134" s="3046"/>
      <c r="J134" s="3046"/>
      <c r="K134" s="3046"/>
      <c r="L134" s="3046"/>
    </row>
    <row r="135" spans="1:12" ht="13.5" hidden="1" customHeight="1" x14ac:dyDescent="0.25">
      <c r="A135" s="986"/>
      <c r="B135" s="983"/>
      <c r="C135" s="983"/>
      <c r="D135" s="3039" t="s">
        <v>1318</v>
      </c>
      <c r="E135" s="3040"/>
      <c r="F135" s="3040"/>
      <c r="G135" s="3040"/>
      <c r="H135" s="3040"/>
      <c r="I135" s="3040"/>
      <c r="J135" s="3040"/>
      <c r="K135" s="3040"/>
      <c r="L135" s="3040"/>
    </row>
    <row r="136" spans="1:12" ht="13.5" hidden="1" customHeight="1" x14ac:dyDescent="0.25">
      <c r="A136" s="986"/>
      <c r="B136" s="983"/>
      <c r="C136" s="983"/>
      <c r="D136" s="3039" t="s">
        <v>1449</v>
      </c>
      <c r="E136" s="3040"/>
      <c r="F136" s="3040"/>
      <c r="G136" s="3040"/>
      <c r="H136" s="3040"/>
      <c r="I136" s="3040"/>
      <c r="J136" s="3040"/>
      <c r="K136" s="3040"/>
      <c r="L136" s="3040"/>
    </row>
    <row r="137" spans="1:12" ht="13.5" hidden="1" customHeight="1" x14ac:dyDescent="0.25">
      <c r="A137" s="986"/>
      <c r="B137" s="983"/>
      <c r="C137" s="983"/>
      <c r="D137" s="3039" t="s">
        <v>1452</v>
      </c>
      <c r="E137" s="3040"/>
      <c r="F137" s="3040"/>
      <c r="G137" s="3040"/>
      <c r="H137" s="3040"/>
      <c r="I137" s="3040"/>
      <c r="J137" s="3040"/>
      <c r="K137" s="3040"/>
      <c r="L137" s="3040"/>
    </row>
    <row r="138" spans="1:12" ht="13.5" hidden="1" customHeight="1" x14ac:dyDescent="0.25">
      <c r="A138" s="986"/>
      <c r="B138" s="983"/>
      <c r="C138" s="983"/>
      <c r="D138" s="3039" t="s">
        <v>1454</v>
      </c>
      <c r="E138" s="3040"/>
      <c r="F138" s="3040"/>
      <c r="G138" s="3040"/>
      <c r="H138" s="3040"/>
      <c r="I138" s="3040"/>
      <c r="J138" s="3040"/>
      <c r="K138" s="3040"/>
      <c r="L138" s="3040"/>
    </row>
    <row r="139" spans="1:12" ht="13.5" hidden="1" customHeight="1" x14ac:dyDescent="0.25">
      <c r="A139" s="986"/>
      <c r="B139" s="983"/>
      <c r="C139" s="983"/>
      <c r="D139" s="3039"/>
      <c r="E139" s="3040"/>
      <c r="F139" s="3040"/>
      <c r="G139" s="3040"/>
      <c r="H139" s="3040"/>
      <c r="I139" s="3040"/>
      <c r="J139" s="3040"/>
      <c r="K139" s="3040"/>
      <c r="L139" s="3040"/>
    </row>
    <row r="140" spans="1:12" ht="13.5" hidden="1" customHeight="1" x14ac:dyDescent="0.25">
      <c r="A140" s="986"/>
      <c r="B140" s="983"/>
      <c r="C140" s="983"/>
      <c r="D140" s="3039"/>
      <c r="E140" s="3040"/>
      <c r="F140" s="3040"/>
      <c r="G140" s="3040"/>
      <c r="H140" s="3040"/>
      <c r="I140" s="3040"/>
      <c r="J140" s="3040"/>
      <c r="K140" s="3040"/>
      <c r="L140" s="3040"/>
    </row>
    <row r="141" spans="1:12" ht="13.5" hidden="1" customHeight="1" x14ac:dyDescent="0.25">
      <c r="A141" s="986"/>
      <c r="B141" s="983"/>
      <c r="C141" s="983"/>
      <c r="D141" s="3039"/>
      <c r="E141" s="3040"/>
      <c r="F141" s="3040"/>
      <c r="G141" s="3040"/>
      <c r="H141" s="3040"/>
      <c r="I141" s="3040"/>
      <c r="J141" s="3040"/>
      <c r="K141" s="3040"/>
      <c r="L141" s="3040"/>
    </row>
    <row r="142" spans="1:12" ht="13.5" hidden="1" customHeight="1" x14ac:dyDescent="0.25">
      <c r="A142" s="986"/>
      <c r="B142" s="983"/>
      <c r="C142" s="983"/>
      <c r="D142" s="3039"/>
      <c r="E142" s="3040"/>
      <c r="F142" s="3040"/>
      <c r="G142" s="3040"/>
      <c r="H142" s="3040"/>
      <c r="I142" s="3040"/>
      <c r="J142" s="3040"/>
      <c r="K142" s="3040"/>
      <c r="L142" s="3040"/>
    </row>
    <row r="143" spans="1:12" ht="13.5" hidden="1" customHeight="1" x14ac:dyDescent="0.25">
      <c r="A143" s="986"/>
      <c r="B143" s="983"/>
      <c r="C143" s="983"/>
      <c r="D143" s="3039"/>
      <c r="E143" s="3040"/>
      <c r="F143" s="3040"/>
      <c r="G143" s="3040"/>
      <c r="H143" s="3040"/>
      <c r="I143" s="3040"/>
      <c r="J143" s="3040"/>
      <c r="K143" s="3040"/>
      <c r="L143" s="3040"/>
    </row>
    <row r="144" spans="1:12" ht="13.5" hidden="1" customHeight="1" x14ac:dyDescent="0.25">
      <c r="A144" s="986"/>
      <c r="B144" s="983"/>
      <c r="C144" s="983"/>
      <c r="D144" s="3039"/>
      <c r="E144" s="3040"/>
      <c r="F144" s="3040"/>
      <c r="G144" s="3040"/>
      <c r="H144" s="3040"/>
      <c r="I144" s="3040"/>
      <c r="J144" s="3040"/>
      <c r="K144" s="3040"/>
      <c r="L144" s="3040"/>
    </row>
    <row r="145" spans="1:14" ht="13.5" hidden="1" customHeight="1" thickBot="1" x14ac:dyDescent="0.25">
      <c r="A145" s="3047" t="s">
        <v>272</v>
      </c>
      <c r="B145" s="3047"/>
      <c r="C145" s="3047"/>
      <c r="D145" s="3047"/>
      <c r="E145" s="3047"/>
      <c r="F145" s="3047"/>
      <c r="G145" s="3047"/>
      <c r="H145" s="3047"/>
      <c r="I145" s="3047"/>
      <c r="J145" s="3047"/>
      <c r="K145" s="3047"/>
      <c r="L145" s="3047"/>
    </row>
    <row r="146" spans="1:14" ht="56.25" customHeight="1" thickBot="1" x14ac:dyDescent="0.25">
      <c r="A146" s="469" t="s">
        <v>273</v>
      </c>
      <c r="B146" s="470" t="s">
        <v>498</v>
      </c>
      <c r="C146" s="470" t="s">
        <v>286</v>
      </c>
      <c r="D146" s="470" t="s">
        <v>284</v>
      </c>
      <c r="E146" s="470" t="s">
        <v>121</v>
      </c>
      <c r="F146" s="470" t="s">
        <v>121</v>
      </c>
      <c r="G146" s="476" t="s">
        <v>376</v>
      </c>
      <c r="H146" s="483" t="s">
        <v>322</v>
      </c>
      <c r="I146" s="483" t="s">
        <v>930</v>
      </c>
      <c r="J146" s="639" t="s">
        <v>931</v>
      </c>
      <c r="K146" s="483" t="s">
        <v>913</v>
      </c>
      <c r="L146" s="483" t="s">
        <v>914</v>
      </c>
    </row>
    <row r="147" spans="1:14" ht="13.5" customHeight="1" thickBot="1" x14ac:dyDescent="0.25">
      <c r="A147" s="471">
        <v>1</v>
      </c>
      <c r="B147" s="472">
        <v>2</v>
      </c>
      <c r="C147" s="472">
        <v>3</v>
      </c>
      <c r="D147" s="472">
        <v>4</v>
      </c>
      <c r="E147" s="472">
        <v>5</v>
      </c>
      <c r="F147" s="477"/>
      <c r="G147" s="477">
        <v>6</v>
      </c>
      <c r="H147" s="484">
        <v>7</v>
      </c>
      <c r="I147" s="484">
        <v>8</v>
      </c>
      <c r="J147" s="640">
        <v>9</v>
      </c>
      <c r="K147" s="484">
        <v>10</v>
      </c>
      <c r="L147" s="484">
        <v>11</v>
      </c>
    </row>
    <row r="148" spans="1:14" ht="21.75" customHeight="1" thickBot="1" x14ac:dyDescent="0.25">
      <c r="A148" s="972" t="s">
        <v>512</v>
      </c>
      <c r="B148" s="760">
        <v>968</v>
      </c>
      <c r="C148" s="760"/>
      <c r="D148" s="760"/>
      <c r="E148" s="760"/>
      <c r="F148" s="761"/>
      <c r="G148" s="761"/>
      <c r="H148" s="772">
        <f>SUM(I148:L148)</f>
        <v>120280.2</v>
      </c>
      <c r="I148" s="772">
        <f>I149+I279+I308+I326+I434+I440+I506++I528+I575+I589</f>
        <v>16697.756000000001</v>
      </c>
      <c r="J148" s="772">
        <f>J149+J279+J308+J326+J434+J440+J506++J528+J575+J589</f>
        <v>21327.610999999997</v>
      </c>
      <c r="K148" s="772">
        <f>K149+K279+K308+K326+K434+K440+K506+K528+K575+K589</f>
        <v>67170.599999999991</v>
      </c>
      <c r="L148" s="772">
        <f>L149+L279+L308+L326+L434+L440+L506++L528+L575+L589</f>
        <v>15084.233000000002</v>
      </c>
      <c r="M148" s="1018"/>
    </row>
    <row r="149" spans="1:14" ht="16.5" customHeight="1" thickBot="1" x14ac:dyDescent="0.25">
      <c r="A149" s="747" t="s">
        <v>122</v>
      </c>
      <c r="B149" s="748">
        <v>968</v>
      </c>
      <c r="C149" s="748">
        <v>100</v>
      </c>
      <c r="D149" s="748"/>
      <c r="E149" s="748"/>
      <c r="F149" s="749"/>
      <c r="G149" s="749"/>
      <c r="H149" s="750">
        <f>SUM(I149:L149)</f>
        <v>30782.746999999999</v>
      </c>
      <c r="I149" s="750">
        <f>I150+I220+I226</f>
        <v>6018.3049999999994</v>
      </c>
      <c r="J149" s="750">
        <f>J150+J220+J226</f>
        <v>6627.097999999999</v>
      </c>
      <c r="K149" s="824">
        <f>K150+K220+K226</f>
        <v>11216.173999999999</v>
      </c>
      <c r="L149" s="750">
        <f>L150+L220+L226</f>
        <v>6921.170000000001</v>
      </c>
      <c r="M149" s="1018"/>
    </row>
    <row r="150" spans="1:14" ht="46.5" customHeight="1" x14ac:dyDescent="0.2">
      <c r="A150" s="488" t="s">
        <v>1369</v>
      </c>
      <c r="B150" s="473">
        <v>968</v>
      </c>
      <c r="C150" s="473">
        <v>104</v>
      </c>
      <c r="D150" s="473"/>
      <c r="E150" s="473"/>
      <c r="F150" s="478"/>
      <c r="G150" s="478"/>
      <c r="H150" s="495">
        <f>SUM(I150:L150)</f>
        <v>26767.585999999996</v>
      </c>
      <c r="I150" s="823">
        <f>I151+I157</f>
        <v>5978.3249999999998</v>
      </c>
      <c r="J150" s="823">
        <f>J151+J157</f>
        <v>6285.1079999999993</v>
      </c>
      <c r="K150" s="823">
        <f>K151+K157</f>
        <v>8495.1419999999998</v>
      </c>
      <c r="L150" s="495">
        <f>L151+L157</f>
        <v>6009.0110000000004</v>
      </c>
      <c r="M150" s="1018"/>
    </row>
    <row r="151" spans="1:14" ht="15" customHeight="1" x14ac:dyDescent="0.2">
      <c r="A151" s="464" t="s">
        <v>107</v>
      </c>
      <c r="B151" s="166">
        <v>968</v>
      </c>
      <c r="C151" s="166">
        <v>104</v>
      </c>
      <c r="D151" s="166" t="s">
        <v>531</v>
      </c>
      <c r="E151" s="166"/>
      <c r="F151" s="482"/>
      <c r="G151" s="482"/>
      <c r="H151" s="1842">
        <f>H153</f>
        <v>1117.634</v>
      </c>
      <c r="I151" s="1843">
        <f t="shared" ref="I151:L153" si="12">I152</f>
        <v>287.87599999999998</v>
      </c>
      <c r="J151" s="1843">
        <f t="shared" si="12"/>
        <v>382.74200000000002</v>
      </c>
      <c r="K151" s="1843">
        <f t="shared" si="12"/>
        <v>196.631</v>
      </c>
      <c r="L151" s="1842">
        <f t="shared" si="12"/>
        <v>250.38499999999999</v>
      </c>
      <c r="M151" s="1018"/>
    </row>
    <row r="152" spans="1:14" ht="39" customHeight="1" x14ac:dyDescent="0.2">
      <c r="A152" s="2098" t="s">
        <v>1359</v>
      </c>
      <c r="B152" s="830">
        <v>968</v>
      </c>
      <c r="C152" s="830">
        <v>104</v>
      </c>
      <c r="D152" s="830" t="s">
        <v>531</v>
      </c>
      <c r="E152" s="830"/>
      <c r="F152" s="2099">
        <v>100</v>
      </c>
      <c r="G152" s="2099"/>
      <c r="H152" s="2107">
        <f>SUM(I152:L152)</f>
        <v>1117.634</v>
      </c>
      <c r="I152" s="2108">
        <f t="shared" si="12"/>
        <v>287.87599999999998</v>
      </c>
      <c r="J152" s="2108">
        <f t="shared" si="12"/>
        <v>382.74200000000002</v>
      </c>
      <c r="K152" s="2108">
        <f t="shared" si="12"/>
        <v>196.631</v>
      </c>
      <c r="L152" s="2107">
        <f t="shared" si="12"/>
        <v>250.38499999999999</v>
      </c>
      <c r="M152" s="1018"/>
    </row>
    <row r="153" spans="1:14" ht="15" customHeight="1" x14ac:dyDescent="0.2">
      <c r="A153" s="1278" t="s">
        <v>1215</v>
      </c>
      <c r="B153" s="1285">
        <v>968</v>
      </c>
      <c r="C153" s="1285">
        <v>104</v>
      </c>
      <c r="D153" s="1285" t="s">
        <v>531</v>
      </c>
      <c r="E153" s="1285">
        <v>500</v>
      </c>
      <c r="F153" s="1279">
        <v>121</v>
      </c>
      <c r="G153" s="1279"/>
      <c r="H153" s="2109">
        <f>H154</f>
        <v>1117.634</v>
      </c>
      <c r="I153" s="2110">
        <f t="shared" si="12"/>
        <v>287.87599999999998</v>
      </c>
      <c r="J153" s="1287">
        <f t="shared" si="12"/>
        <v>382.74200000000002</v>
      </c>
      <c r="K153" s="1286">
        <f t="shared" si="12"/>
        <v>196.631</v>
      </c>
      <c r="L153" s="1286">
        <f t="shared" si="12"/>
        <v>250.38499999999999</v>
      </c>
      <c r="M153" s="1018"/>
    </row>
    <row r="154" spans="1:14" ht="12.75" customHeight="1" x14ac:dyDescent="0.2">
      <c r="A154" s="467" t="s">
        <v>377</v>
      </c>
      <c r="B154" s="474">
        <v>968</v>
      </c>
      <c r="C154" s="474">
        <v>104</v>
      </c>
      <c r="D154" s="474" t="s">
        <v>385</v>
      </c>
      <c r="E154" s="474">
        <v>500</v>
      </c>
      <c r="F154" s="480">
        <v>121</v>
      </c>
      <c r="G154" s="480">
        <v>210</v>
      </c>
      <c r="H154" s="485">
        <f>SUM(H155:H156)</f>
        <v>1117.634</v>
      </c>
      <c r="I154" s="957">
        <f>SUM(I155:I156)</f>
        <v>287.87599999999998</v>
      </c>
      <c r="J154" s="957">
        <f>SUM(J155:J156)</f>
        <v>382.74200000000002</v>
      </c>
      <c r="K154" s="485">
        <f>SUM(K155:K156)</f>
        <v>196.631</v>
      </c>
      <c r="L154" s="485">
        <f>SUM(L155:L156)</f>
        <v>250.38499999999999</v>
      </c>
      <c r="M154" s="1018"/>
    </row>
    <row r="155" spans="1:14" ht="15" customHeight="1" x14ac:dyDescent="0.2">
      <c r="A155" s="468" t="s">
        <v>125</v>
      </c>
      <c r="B155" s="475">
        <v>968</v>
      </c>
      <c r="C155" s="475">
        <v>104</v>
      </c>
      <c r="D155" s="475" t="s">
        <v>385</v>
      </c>
      <c r="E155" s="475">
        <v>500</v>
      </c>
      <c r="F155" s="481">
        <v>121</v>
      </c>
      <c r="G155" s="481">
        <v>211</v>
      </c>
      <c r="H155" s="492">
        <f>SUM(I155:L155)</f>
        <v>888.125</v>
      </c>
      <c r="I155" s="2857">
        <v>222.03</v>
      </c>
      <c r="J155" s="2857">
        <f>222.03+71.935</f>
        <v>293.96500000000003</v>
      </c>
      <c r="K155" s="492">
        <f>222.03-71.935</f>
        <v>150.095</v>
      </c>
      <c r="L155" s="486">
        <v>222.035</v>
      </c>
      <c r="M155" s="1018"/>
    </row>
    <row r="156" spans="1:14" ht="15" customHeight="1" x14ac:dyDescent="0.2">
      <c r="A156" s="468" t="s">
        <v>379</v>
      </c>
      <c r="B156" s="475">
        <v>968</v>
      </c>
      <c r="C156" s="475">
        <v>104</v>
      </c>
      <c r="D156" s="475" t="s">
        <v>385</v>
      </c>
      <c r="E156" s="475">
        <v>500</v>
      </c>
      <c r="F156" s="481">
        <v>121</v>
      </c>
      <c r="G156" s="481">
        <v>213</v>
      </c>
      <c r="H156" s="486">
        <f>SUM(I156:L156)</f>
        <v>229.50899999999999</v>
      </c>
      <c r="I156" s="2697">
        <f>67.053-1.207</f>
        <v>65.846000000000004</v>
      </c>
      <c r="J156" s="2697">
        <f>67.053+1.207+20.517</f>
        <v>88.776999999999987</v>
      </c>
      <c r="K156" s="486">
        <f>67.053-20.517</f>
        <v>46.536000000000001</v>
      </c>
      <c r="L156" s="486">
        <f>27.95+0.4</f>
        <v>28.349999999999998</v>
      </c>
      <c r="M156" s="1018"/>
    </row>
    <row r="157" spans="1:14" x14ac:dyDescent="0.2">
      <c r="A157" s="834" t="s">
        <v>1134</v>
      </c>
      <c r="B157" s="166">
        <v>968</v>
      </c>
      <c r="C157" s="166">
        <v>104</v>
      </c>
      <c r="D157" s="166"/>
      <c r="E157" s="475"/>
      <c r="F157" s="481"/>
      <c r="G157" s="481"/>
      <c r="H157" s="832">
        <f>SUM(I157:L157)</f>
        <v>25649.952000000001</v>
      </c>
      <c r="I157" s="959">
        <f>I158+I208</f>
        <v>5690.4489999999996</v>
      </c>
      <c r="J157" s="959">
        <f>J158+J208</f>
        <v>5902.3659999999991</v>
      </c>
      <c r="K157" s="959">
        <f>K158+K208</f>
        <v>8298.5110000000004</v>
      </c>
      <c r="L157" s="832">
        <f>L158+L208</f>
        <v>5758.6260000000002</v>
      </c>
      <c r="M157" s="1018"/>
    </row>
    <row r="158" spans="1:14" ht="27.75" customHeight="1" x14ac:dyDescent="0.2">
      <c r="A158" s="464" t="s">
        <v>72</v>
      </c>
      <c r="B158" s="166">
        <v>968</v>
      </c>
      <c r="C158" s="166">
        <v>104</v>
      </c>
      <c r="D158" s="166" t="s">
        <v>70</v>
      </c>
      <c r="E158" s="166"/>
      <c r="F158" s="482"/>
      <c r="G158" s="482"/>
      <c r="H158" s="832">
        <f>SUM(I158:L158)</f>
        <v>25644.351999999999</v>
      </c>
      <c r="I158" s="832">
        <f>I159+I165+I201+I187</f>
        <v>5690.4489999999996</v>
      </c>
      <c r="J158" s="832">
        <f>J159+J165+J201+J187</f>
        <v>5902.3659999999991</v>
      </c>
      <c r="K158" s="832">
        <f>K159+K165+K201+K187</f>
        <v>8292.9110000000001</v>
      </c>
      <c r="L158" s="832">
        <f>L159+L165+L201+L187</f>
        <v>5758.6260000000002</v>
      </c>
      <c r="M158" s="1018"/>
      <c r="N158" s="1018"/>
    </row>
    <row r="159" spans="1:14" ht="42.75" customHeight="1" x14ac:dyDescent="0.2">
      <c r="A159" s="2098" t="s">
        <v>1359</v>
      </c>
      <c r="B159" s="830">
        <v>968</v>
      </c>
      <c r="C159" s="830">
        <v>104</v>
      </c>
      <c r="D159" s="830" t="s">
        <v>70</v>
      </c>
      <c r="E159" s="830"/>
      <c r="F159" s="2099">
        <v>100</v>
      </c>
      <c r="G159" s="2099"/>
      <c r="H159" s="821">
        <f>SUM(I159:L159)</f>
        <v>19631.649000000001</v>
      </c>
      <c r="I159" s="821">
        <f>I160</f>
        <v>4449.576</v>
      </c>
      <c r="J159" s="821">
        <f>J160</f>
        <v>4914.6229999999996</v>
      </c>
      <c r="K159" s="821">
        <f>K160</f>
        <v>5375.0549999999994</v>
      </c>
      <c r="L159" s="821">
        <f>L160</f>
        <v>4892.3950000000004</v>
      </c>
      <c r="M159" s="1018"/>
      <c r="N159" s="1018"/>
    </row>
    <row r="160" spans="1:14" x14ac:dyDescent="0.2">
      <c r="A160" s="1278" t="s">
        <v>1215</v>
      </c>
      <c r="B160" s="1285">
        <v>968</v>
      </c>
      <c r="C160" s="1285">
        <v>104</v>
      </c>
      <c r="D160" s="1285" t="s">
        <v>70</v>
      </c>
      <c r="E160" s="1285">
        <v>500</v>
      </c>
      <c r="F160" s="1279">
        <v>121</v>
      </c>
      <c r="G160" s="1279"/>
      <c r="H160" s="1286">
        <f t="shared" ref="H160:L161" si="13">H161</f>
        <v>19631.648999999998</v>
      </c>
      <c r="I160" s="1286">
        <f t="shared" si="13"/>
        <v>4449.576</v>
      </c>
      <c r="J160" s="1286">
        <f t="shared" si="13"/>
        <v>4914.6229999999996</v>
      </c>
      <c r="K160" s="1286">
        <f t="shared" si="13"/>
        <v>5375.0549999999994</v>
      </c>
      <c r="L160" s="1286">
        <f t="shared" si="13"/>
        <v>4892.3950000000004</v>
      </c>
      <c r="M160" s="1018"/>
      <c r="N160" s="1018"/>
    </row>
    <row r="161" spans="1:14" x14ac:dyDescent="0.2">
      <c r="A161" s="465" t="s">
        <v>380</v>
      </c>
      <c r="B161" s="156">
        <v>968</v>
      </c>
      <c r="C161" s="156">
        <v>104</v>
      </c>
      <c r="D161" s="156" t="s">
        <v>77</v>
      </c>
      <c r="E161" s="156">
        <v>500</v>
      </c>
      <c r="F161" s="479">
        <v>121</v>
      </c>
      <c r="G161" s="479">
        <v>200</v>
      </c>
      <c r="H161" s="1804">
        <f t="shared" si="13"/>
        <v>19631.648999999998</v>
      </c>
      <c r="I161" s="1804">
        <f t="shared" si="13"/>
        <v>4449.576</v>
      </c>
      <c r="J161" s="1804">
        <f t="shared" si="13"/>
        <v>4914.6229999999996</v>
      </c>
      <c r="K161" s="1804">
        <f t="shared" si="13"/>
        <v>5375.0549999999994</v>
      </c>
      <c r="L161" s="1804">
        <f t="shared" si="13"/>
        <v>4892.3950000000004</v>
      </c>
      <c r="M161" s="1018"/>
      <c r="N161" s="1265"/>
    </row>
    <row r="162" spans="1:14" x14ac:dyDescent="0.2">
      <c r="A162" s="467" t="s">
        <v>377</v>
      </c>
      <c r="B162" s="474">
        <v>968</v>
      </c>
      <c r="C162" s="474">
        <v>104</v>
      </c>
      <c r="D162" s="474" t="s">
        <v>77</v>
      </c>
      <c r="E162" s="474">
        <v>500</v>
      </c>
      <c r="F162" s="480">
        <v>121</v>
      </c>
      <c r="G162" s="480">
        <v>210</v>
      </c>
      <c r="H162" s="2678">
        <f>SUM(H163:H164)</f>
        <v>19631.648999999998</v>
      </c>
      <c r="I162" s="2677">
        <f>SUM(I163:I164)</f>
        <v>4449.576</v>
      </c>
      <c r="J162" s="2677">
        <f>SUM(J163:J164)</f>
        <v>4914.6229999999996</v>
      </c>
      <c r="K162" s="2678">
        <f>SUM(K163:K164)</f>
        <v>5375.0549999999994</v>
      </c>
      <c r="L162" s="2678">
        <f>SUM(L163:L164)</f>
        <v>4892.3950000000004</v>
      </c>
      <c r="M162" s="1018"/>
      <c r="N162" s="1018"/>
    </row>
    <row r="163" spans="1:14" x14ac:dyDescent="0.2">
      <c r="A163" s="468" t="s">
        <v>125</v>
      </c>
      <c r="B163" s="475">
        <v>968</v>
      </c>
      <c r="C163" s="475">
        <v>104</v>
      </c>
      <c r="D163" s="475" t="s">
        <v>77</v>
      </c>
      <c r="E163" s="475">
        <v>500</v>
      </c>
      <c r="F163" s="481">
        <v>121</v>
      </c>
      <c r="G163" s="481">
        <v>211</v>
      </c>
      <c r="H163" s="1802">
        <f t="shared" ref="H163:H177" si="14">SUM(I163:L163)</f>
        <v>15093.957999999997</v>
      </c>
      <c r="I163" s="1803">
        <f>3773.49-363.116</f>
        <v>3410.3739999999998</v>
      </c>
      <c r="J163" s="1803">
        <f>3773.489+363.116-473.708</f>
        <v>3662.8969999999995</v>
      </c>
      <c r="K163" s="2681">
        <f>3773.49+473.708</f>
        <v>4247.1979999999994</v>
      </c>
      <c r="L163" s="2681">
        <v>3773.489</v>
      </c>
      <c r="M163" s="1018"/>
      <c r="N163" s="1018"/>
    </row>
    <row r="164" spans="1:14" x14ac:dyDescent="0.2">
      <c r="A164" s="468" t="s">
        <v>379</v>
      </c>
      <c r="B164" s="475">
        <v>968</v>
      </c>
      <c r="C164" s="475">
        <v>104</v>
      </c>
      <c r="D164" s="475" t="s">
        <v>77</v>
      </c>
      <c r="E164" s="475">
        <v>500</v>
      </c>
      <c r="F164" s="481">
        <v>121</v>
      </c>
      <c r="G164" s="481">
        <v>213</v>
      </c>
      <c r="H164" s="1802">
        <f t="shared" si="14"/>
        <v>4537.6909999999998</v>
      </c>
      <c r="I164" s="2680">
        <f>1139.595-100.393</f>
        <v>1039.202</v>
      </c>
      <c r="J164" s="2680">
        <f>1139.595+100.393+11.738</f>
        <v>1251.7260000000001</v>
      </c>
      <c r="K164" s="2681">
        <f>1139.595-11.738</f>
        <v>1127.857</v>
      </c>
      <c r="L164" s="2681">
        <f>1117.946+0.96</f>
        <v>1118.9059999999999</v>
      </c>
      <c r="M164" s="1018"/>
      <c r="N164" s="1018"/>
    </row>
    <row r="165" spans="1:14" ht="17.25" customHeight="1" x14ac:dyDescent="0.2">
      <c r="A165" s="487" t="s">
        <v>1357</v>
      </c>
      <c r="B165" s="830">
        <v>968</v>
      </c>
      <c r="C165" s="830">
        <v>104</v>
      </c>
      <c r="D165" s="830" t="s">
        <v>70</v>
      </c>
      <c r="E165" s="830">
        <v>500</v>
      </c>
      <c r="F165" s="2099">
        <v>200</v>
      </c>
      <c r="G165" s="2099"/>
      <c r="H165" s="821">
        <f t="shared" si="14"/>
        <v>5925.0360000000001</v>
      </c>
      <c r="I165" s="821">
        <f>I166+I175</f>
        <v>1183.806</v>
      </c>
      <c r="J165" s="821">
        <f>J166+J175</f>
        <v>979.90499999999986</v>
      </c>
      <c r="K165" s="821">
        <f>K166+K175</f>
        <v>2900.0940000000001</v>
      </c>
      <c r="L165" s="821">
        <f>L166+L175</f>
        <v>861.23099999999999</v>
      </c>
      <c r="M165" s="1018"/>
      <c r="N165" s="1018"/>
    </row>
    <row r="166" spans="1:14" ht="24" x14ac:dyDescent="0.2">
      <c r="A166" s="1278" t="s">
        <v>1218</v>
      </c>
      <c r="B166" s="1285">
        <v>968</v>
      </c>
      <c r="C166" s="1285">
        <v>104</v>
      </c>
      <c r="D166" s="1285" t="s">
        <v>70</v>
      </c>
      <c r="E166" s="1285"/>
      <c r="F166" s="1279">
        <v>242</v>
      </c>
      <c r="G166" s="1279"/>
      <c r="H166" s="1286">
        <f t="shared" si="14"/>
        <v>2739.058</v>
      </c>
      <c r="I166" s="1286">
        <f>I167+I172</f>
        <v>481.33199999999999</v>
      </c>
      <c r="J166" s="1286">
        <f>J167+J172</f>
        <v>213.71900000000008</v>
      </c>
      <c r="K166" s="1286">
        <f>K167+K172</f>
        <v>1747.325</v>
      </c>
      <c r="L166" s="1286">
        <f>L167+L172</f>
        <v>296.68199999999996</v>
      </c>
      <c r="M166" s="1018"/>
      <c r="N166" s="1018"/>
    </row>
    <row r="167" spans="1:14" x14ac:dyDescent="0.2">
      <c r="A167" s="465" t="s">
        <v>380</v>
      </c>
      <c r="B167" s="156">
        <v>968</v>
      </c>
      <c r="C167" s="156">
        <v>104</v>
      </c>
      <c r="D167" s="156" t="s">
        <v>77</v>
      </c>
      <c r="E167" s="156">
        <v>500</v>
      </c>
      <c r="F167" s="479">
        <v>242</v>
      </c>
      <c r="G167" s="479">
        <v>200</v>
      </c>
      <c r="H167" s="2590">
        <f t="shared" si="14"/>
        <v>1609.0580000000002</v>
      </c>
      <c r="I167" s="2590">
        <f>I168</f>
        <v>289.666</v>
      </c>
      <c r="J167" s="2590">
        <f>J168</f>
        <v>213.71900000000008</v>
      </c>
      <c r="K167" s="2590">
        <f>K168</f>
        <v>808.99099999999999</v>
      </c>
      <c r="L167" s="2590">
        <f>L168</f>
        <v>296.68199999999996</v>
      </c>
      <c r="M167" s="1018"/>
      <c r="N167" s="1018"/>
    </row>
    <row r="168" spans="1:14" x14ac:dyDescent="0.2">
      <c r="A168" s="467" t="s">
        <v>381</v>
      </c>
      <c r="B168" s="474">
        <v>968</v>
      </c>
      <c r="C168" s="474">
        <v>104</v>
      </c>
      <c r="D168" s="474" t="s">
        <v>77</v>
      </c>
      <c r="E168" s="474">
        <v>500</v>
      </c>
      <c r="F168" s="480">
        <v>242</v>
      </c>
      <c r="G168" s="480">
        <v>220</v>
      </c>
      <c r="H168" s="2657">
        <f t="shared" si="14"/>
        <v>1609.0580000000002</v>
      </c>
      <c r="I168" s="2656">
        <f>SUM(I169:I171)</f>
        <v>289.666</v>
      </c>
      <c r="J168" s="2656">
        <f>SUM(J169:J171)</f>
        <v>213.71900000000008</v>
      </c>
      <c r="K168" s="2656">
        <f>SUM(K169:K171)</f>
        <v>808.99099999999999</v>
      </c>
      <c r="L168" s="2656">
        <f>SUM(L169:L171)</f>
        <v>296.68199999999996</v>
      </c>
      <c r="M168" s="1018"/>
      <c r="N168" s="1018"/>
    </row>
    <row r="169" spans="1:14" x14ac:dyDescent="0.2">
      <c r="A169" s="468" t="s">
        <v>130</v>
      </c>
      <c r="B169" s="475">
        <v>968</v>
      </c>
      <c r="C169" s="475">
        <v>104</v>
      </c>
      <c r="D169" s="475" t="s">
        <v>77</v>
      </c>
      <c r="E169" s="475">
        <v>500</v>
      </c>
      <c r="F169" s="481">
        <v>242</v>
      </c>
      <c r="G169" s="481">
        <v>221</v>
      </c>
      <c r="H169" s="1802">
        <f t="shared" si="14"/>
        <v>338.69599999999997</v>
      </c>
      <c r="I169" s="1803">
        <f>84.681-0.007-67.278</f>
        <v>17.395999999999987</v>
      </c>
      <c r="J169" s="1803">
        <f>84.681-0.007+67.278-62.809</f>
        <v>89.143000000000001</v>
      </c>
      <c r="K169" s="1803">
        <f>84.681-0.007+62.809</f>
        <v>147.483</v>
      </c>
      <c r="L169" s="1802">
        <f>84.681-0.007</f>
        <v>84.673999999999992</v>
      </c>
      <c r="M169" s="1018"/>
      <c r="N169" s="1018"/>
    </row>
    <row r="170" spans="1:14" x14ac:dyDescent="0.2">
      <c r="A170" s="468" t="s">
        <v>382</v>
      </c>
      <c r="B170" s="475">
        <v>968</v>
      </c>
      <c r="C170" s="475">
        <v>104</v>
      </c>
      <c r="D170" s="475" t="s">
        <v>77</v>
      </c>
      <c r="E170" s="475">
        <v>500</v>
      </c>
      <c r="F170" s="481">
        <v>242</v>
      </c>
      <c r="G170" s="481">
        <v>225</v>
      </c>
      <c r="H170" s="1802">
        <f t="shared" si="14"/>
        <v>278.03999999999996</v>
      </c>
      <c r="I170" s="1803">
        <f>102.786-39.836</f>
        <v>62.95</v>
      </c>
      <c r="J170" s="1803">
        <f>102.786-26.716-42.12</f>
        <v>33.949999999999996</v>
      </c>
      <c r="K170" s="1802">
        <f>102.786-33.276+42.12</f>
        <v>111.63</v>
      </c>
      <c r="L170" s="1802">
        <f>102.786-33.276</f>
        <v>69.509999999999991</v>
      </c>
      <c r="M170" s="1018"/>
      <c r="N170" s="1018"/>
    </row>
    <row r="171" spans="1:14" x14ac:dyDescent="0.2">
      <c r="A171" s="468" t="s">
        <v>383</v>
      </c>
      <c r="B171" s="475">
        <v>968</v>
      </c>
      <c r="C171" s="475">
        <v>104</v>
      </c>
      <c r="D171" s="475" t="s">
        <v>77</v>
      </c>
      <c r="E171" s="475">
        <v>500</v>
      </c>
      <c r="F171" s="481">
        <v>242</v>
      </c>
      <c r="G171" s="481">
        <v>226</v>
      </c>
      <c r="H171" s="1802">
        <f t="shared" si="14"/>
        <v>992.32200000000012</v>
      </c>
      <c r="I171" s="2698">
        <f>482.657-273.337</f>
        <v>209.32</v>
      </c>
      <c r="J171" s="2698">
        <f>200.657+290.405-108.41-5.4-286.626</f>
        <v>90.62600000000009</v>
      </c>
      <c r="K171" s="2698">
        <f>284.787-0.376+17.034-38.193+286.626</f>
        <v>549.87799999999993</v>
      </c>
      <c r="L171" s="2698">
        <f>163.657+17.034-38.193</f>
        <v>142.49799999999999</v>
      </c>
      <c r="M171" s="1018"/>
      <c r="N171" s="1018"/>
    </row>
    <row r="172" spans="1:14" x14ac:dyDescent="0.2">
      <c r="A172" s="465" t="s">
        <v>384</v>
      </c>
      <c r="B172" s="156">
        <v>968</v>
      </c>
      <c r="C172" s="156">
        <v>104</v>
      </c>
      <c r="D172" s="156" t="s">
        <v>77</v>
      </c>
      <c r="E172" s="156">
        <v>500</v>
      </c>
      <c r="F172" s="755">
        <v>242</v>
      </c>
      <c r="G172" s="479">
        <v>300</v>
      </c>
      <c r="H172" s="1804">
        <f t="shared" si="14"/>
        <v>1130</v>
      </c>
      <c r="I172" s="1805">
        <f>SUM(I173:I174)</f>
        <v>191.666</v>
      </c>
      <c r="J172" s="1805">
        <f>SUM(J173:J174)</f>
        <v>0</v>
      </c>
      <c r="K172" s="1805">
        <f>SUM(K173:K174)</f>
        <v>938.33400000000006</v>
      </c>
      <c r="L172" s="1804">
        <f>SUM(L173:L174)</f>
        <v>0</v>
      </c>
      <c r="M172" s="1018"/>
      <c r="N172" s="1018"/>
    </row>
    <row r="173" spans="1:14" x14ac:dyDescent="0.2">
      <c r="A173" s="467" t="s">
        <v>279</v>
      </c>
      <c r="B173" s="474">
        <v>968</v>
      </c>
      <c r="C173" s="474">
        <v>104</v>
      </c>
      <c r="D173" s="474" t="s">
        <v>77</v>
      </c>
      <c r="E173" s="474">
        <v>500</v>
      </c>
      <c r="F173" s="481">
        <v>242</v>
      </c>
      <c r="G173" s="481">
        <v>310</v>
      </c>
      <c r="H173" s="1802">
        <f t="shared" si="14"/>
        <v>300</v>
      </c>
      <c r="I173" s="1803">
        <f>250-250</f>
        <v>0</v>
      </c>
      <c r="J173" s="1803">
        <f>50+250-300</f>
        <v>0</v>
      </c>
      <c r="K173" s="1802">
        <v>300</v>
      </c>
      <c r="L173" s="1802">
        <v>0</v>
      </c>
      <c r="M173" s="1018"/>
      <c r="N173" s="1018"/>
    </row>
    <row r="174" spans="1:14" x14ac:dyDescent="0.2">
      <c r="A174" s="467" t="s">
        <v>280</v>
      </c>
      <c r="B174" s="474">
        <v>968</v>
      </c>
      <c r="C174" s="474">
        <v>104</v>
      </c>
      <c r="D174" s="474" t="s">
        <v>77</v>
      </c>
      <c r="E174" s="474">
        <v>500</v>
      </c>
      <c r="F174" s="481">
        <v>242</v>
      </c>
      <c r="G174" s="481">
        <v>340</v>
      </c>
      <c r="H174" s="1802">
        <f t="shared" si="14"/>
        <v>830</v>
      </c>
      <c r="I174" s="1803">
        <f>430-238.334</f>
        <v>191.666</v>
      </c>
      <c r="J174" s="1803">
        <f>0+238.334-238.334</f>
        <v>0</v>
      </c>
      <c r="K174" s="1802">
        <f>400+238.334</f>
        <v>638.33400000000006</v>
      </c>
      <c r="L174" s="1802">
        <v>0</v>
      </c>
      <c r="M174" s="1018"/>
      <c r="N174" s="1018"/>
    </row>
    <row r="175" spans="1:14" x14ac:dyDescent="0.2">
      <c r="A175" s="1278" t="s">
        <v>1201</v>
      </c>
      <c r="B175" s="1285">
        <v>968</v>
      </c>
      <c r="C175" s="1285">
        <v>104</v>
      </c>
      <c r="D175" s="1285" t="s">
        <v>70</v>
      </c>
      <c r="E175" s="1285"/>
      <c r="F175" s="1279">
        <v>244</v>
      </c>
      <c r="G175" s="1288"/>
      <c r="H175" s="2673">
        <f t="shared" si="14"/>
        <v>3185.9780000000001</v>
      </c>
      <c r="I175" s="2699">
        <f>I176+I184</f>
        <v>702.47399999999993</v>
      </c>
      <c r="J175" s="2699">
        <f>J176+J184</f>
        <v>766.18599999999981</v>
      </c>
      <c r="K175" s="2699">
        <f>K176+K184</f>
        <v>1152.769</v>
      </c>
      <c r="L175" s="2673">
        <f>L176+L184</f>
        <v>564.54900000000009</v>
      </c>
      <c r="M175" s="1018"/>
      <c r="N175" s="1018"/>
    </row>
    <row r="176" spans="1:14" x14ac:dyDescent="0.2">
      <c r="A176" s="465" t="s">
        <v>380</v>
      </c>
      <c r="B176" s="156">
        <v>968</v>
      </c>
      <c r="C176" s="156">
        <v>104</v>
      </c>
      <c r="D176" s="156" t="s">
        <v>77</v>
      </c>
      <c r="E176" s="156">
        <v>500</v>
      </c>
      <c r="F176" s="479">
        <v>244</v>
      </c>
      <c r="G176" s="479">
        <v>200</v>
      </c>
      <c r="H176" s="2590">
        <f t="shared" si="14"/>
        <v>2799.9449999999997</v>
      </c>
      <c r="I176" s="2590">
        <f>I177</f>
        <v>571.904</v>
      </c>
      <c r="J176" s="2590">
        <f>J177</f>
        <v>753.22899999999981</v>
      </c>
      <c r="K176" s="2590">
        <f>K177</f>
        <v>911.53499999999997</v>
      </c>
      <c r="L176" s="2590">
        <f>L177</f>
        <v>563.27700000000004</v>
      </c>
      <c r="M176" s="1018"/>
      <c r="N176" s="1018"/>
    </row>
    <row r="177" spans="1:15" x14ac:dyDescent="0.2">
      <c r="A177" s="467" t="s">
        <v>381</v>
      </c>
      <c r="B177" s="474">
        <v>968</v>
      </c>
      <c r="C177" s="474">
        <v>104</v>
      </c>
      <c r="D177" s="474" t="s">
        <v>77</v>
      </c>
      <c r="E177" s="474">
        <v>500</v>
      </c>
      <c r="F177" s="480">
        <v>244</v>
      </c>
      <c r="G177" s="480">
        <v>220</v>
      </c>
      <c r="H177" s="2657">
        <f t="shared" si="14"/>
        <v>2799.9449999999997</v>
      </c>
      <c r="I177" s="2656">
        <f>SUM(I178:I183)</f>
        <v>571.904</v>
      </c>
      <c r="J177" s="2656">
        <f>SUM(J178:J183)</f>
        <v>753.22899999999981</v>
      </c>
      <c r="K177" s="2656">
        <f>SUM(K178:K183)</f>
        <v>911.53499999999997</v>
      </c>
      <c r="L177" s="2657">
        <f>SUM(L178:L183)</f>
        <v>563.27700000000004</v>
      </c>
      <c r="M177" s="1018"/>
      <c r="N177" s="1018"/>
    </row>
    <row r="178" spans="1:15" x14ac:dyDescent="0.2">
      <c r="A178" s="468" t="s">
        <v>130</v>
      </c>
      <c r="B178" s="475">
        <v>968</v>
      </c>
      <c r="C178" s="475">
        <v>104</v>
      </c>
      <c r="D178" s="475" t="s">
        <v>77</v>
      </c>
      <c r="E178" s="475">
        <v>500</v>
      </c>
      <c r="F178" s="481">
        <v>244</v>
      </c>
      <c r="G178" s="481">
        <v>221</v>
      </c>
      <c r="H178" s="1802">
        <f t="shared" ref="H178:H189" si="15">SUM(I178:L178)</f>
        <v>31.2</v>
      </c>
      <c r="I178" s="1803">
        <f>7.8-7.8</f>
        <v>0</v>
      </c>
      <c r="J178" s="1803">
        <f>7.8+7.8-10.511</f>
        <v>5.0890000000000004</v>
      </c>
      <c r="K178" s="1803">
        <f>7.8+10.511</f>
        <v>18.311</v>
      </c>
      <c r="L178" s="1802">
        <v>7.8</v>
      </c>
      <c r="M178" s="1018"/>
      <c r="N178" s="1018"/>
    </row>
    <row r="179" spans="1:15" x14ac:dyDescent="0.2">
      <c r="A179" s="468" t="s">
        <v>131</v>
      </c>
      <c r="B179" s="475">
        <v>968</v>
      </c>
      <c r="C179" s="475">
        <v>104</v>
      </c>
      <c r="D179" s="475" t="s">
        <v>77</v>
      </c>
      <c r="E179" s="475">
        <v>500</v>
      </c>
      <c r="F179" s="481">
        <v>244</v>
      </c>
      <c r="G179" s="481">
        <v>222</v>
      </c>
      <c r="H179" s="1802">
        <f t="shared" si="15"/>
        <v>129.78</v>
      </c>
      <c r="I179" s="1803">
        <f>32.445-11.025</f>
        <v>21.42</v>
      </c>
      <c r="J179" s="1803">
        <f>32.445+11.025-22.05</f>
        <v>21.419999999999998</v>
      </c>
      <c r="K179" s="1802">
        <f>32.445+22.05</f>
        <v>54.495000000000005</v>
      </c>
      <c r="L179" s="1802">
        <v>32.445</v>
      </c>
      <c r="M179" s="1018"/>
      <c r="N179" s="1018"/>
    </row>
    <row r="180" spans="1:15" x14ac:dyDescent="0.2">
      <c r="A180" s="468" t="s">
        <v>132</v>
      </c>
      <c r="B180" s="475">
        <v>968</v>
      </c>
      <c r="C180" s="475">
        <v>104</v>
      </c>
      <c r="D180" s="475" t="s">
        <v>77</v>
      </c>
      <c r="E180" s="475">
        <v>500</v>
      </c>
      <c r="F180" s="481">
        <v>244</v>
      </c>
      <c r="G180" s="481">
        <v>223</v>
      </c>
      <c r="H180" s="1802">
        <f t="shared" si="15"/>
        <v>811.524</v>
      </c>
      <c r="I180" s="1803">
        <f>150.381+128.671</f>
        <v>279.05200000000002</v>
      </c>
      <c r="J180" s="1803">
        <f>150.381+81.329-147.001</f>
        <v>84.708999999999975</v>
      </c>
      <c r="K180" s="1802">
        <f>150.381+147.001</f>
        <v>297.38200000000001</v>
      </c>
      <c r="L180" s="1802">
        <v>150.381</v>
      </c>
      <c r="M180" s="1018"/>
      <c r="N180" s="1018"/>
      <c r="O180" s="1018"/>
    </row>
    <row r="181" spans="1:15" x14ac:dyDescent="0.2">
      <c r="A181" s="468" t="s">
        <v>133</v>
      </c>
      <c r="B181" s="475">
        <v>968</v>
      </c>
      <c r="C181" s="475">
        <v>104</v>
      </c>
      <c r="D181" s="475" t="s">
        <v>77</v>
      </c>
      <c r="E181" s="475">
        <v>500</v>
      </c>
      <c r="F181" s="481">
        <v>244</v>
      </c>
      <c r="G181" s="481">
        <v>224</v>
      </c>
      <c r="H181" s="1802">
        <f t="shared" si="15"/>
        <v>935.11999999999989</v>
      </c>
      <c r="I181" s="1803">
        <f>229.53-85.65</f>
        <v>143.88</v>
      </c>
      <c r="J181" s="1803">
        <f>229.53+90.65-105.879</f>
        <v>214.30099999999999</v>
      </c>
      <c r="K181" s="1802">
        <f>229.53+6+105.879</f>
        <v>341.40899999999999</v>
      </c>
      <c r="L181" s="1802">
        <f>229.53+6</f>
        <v>235.53</v>
      </c>
      <c r="M181" s="1018"/>
      <c r="N181" s="1018"/>
    </row>
    <row r="182" spans="1:15" x14ac:dyDescent="0.2">
      <c r="A182" s="468" t="s">
        <v>382</v>
      </c>
      <c r="B182" s="475">
        <v>968</v>
      </c>
      <c r="C182" s="475">
        <v>104</v>
      </c>
      <c r="D182" s="475" t="s">
        <v>77</v>
      </c>
      <c r="E182" s="475">
        <v>500</v>
      </c>
      <c r="F182" s="481">
        <v>244</v>
      </c>
      <c r="G182" s="481">
        <v>225</v>
      </c>
      <c r="H182" s="1802">
        <f t="shared" si="15"/>
        <v>405.685</v>
      </c>
      <c r="I182" s="1803">
        <f>22.686+23.492</f>
        <v>46.177999999999997</v>
      </c>
      <c r="J182" s="1803">
        <f>22.686+43.06+181.837-18.107</f>
        <v>229.476</v>
      </c>
      <c r="K182" s="1802">
        <f>22.686+33.276+18.107</f>
        <v>74.069000000000003</v>
      </c>
      <c r="L182" s="1802">
        <f>22.686+33.276</f>
        <v>55.962000000000003</v>
      </c>
      <c r="M182" s="1018"/>
      <c r="N182" s="1018"/>
    </row>
    <row r="183" spans="1:15" x14ac:dyDescent="0.2">
      <c r="A183" s="468" t="s">
        <v>383</v>
      </c>
      <c r="B183" s="475">
        <v>968</v>
      </c>
      <c r="C183" s="475">
        <v>104</v>
      </c>
      <c r="D183" s="475" t="s">
        <v>77</v>
      </c>
      <c r="E183" s="475">
        <v>500</v>
      </c>
      <c r="F183" s="481">
        <v>244</v>
      </c>
      <c r="G183" s="481">
        <v>226</v>
      </c>
      <c r="H183" s="1802">
        <f t="shared" si="15"/>
        <v>486.63599999999997</v>
      </c>
      <c r="I183" s="1803">
        <f>15+66.374</f>
        <v>81.373999999999995</v>
      </c>
      <c r="J183" s="1803">
        <f>144.976-10.442+108.41-44.71</f>
        <v>198.23399999999998</v>
      </c>
      <c r="K183" s="1802">
        <f>15+27.966+38.193+44.71</f>
        <v>125.869</v>
      </c>
      <c r="L183" s="1802">
        <f>15+27.966+38.193</f>
        <v>81.158999999999992</v>
      </c>
      <c r="M183" s="1018"/>
      <c r="N183" s="1018"/>
    </row>
    <row r="184" spans="1:15" x14ac:dyDescent="0.2">
      <c r="A184" s="465" t="s">
        <v>384</v>
      </c>
      <c r="B184" s="156">
        <v>968</v>
      </c>
      <c r="C184" s="156">
        <v>104</v>
      </c>
      <c r="D184" s="156" t="s">
        <v>77</v>
      </c>
      <c r="E184" s="156">
        <v>500</v>
      </c>
      <c r="F184" s="755">
        <v>244</v>
      </c>
      <c r="G184" s="479">
        <v>300</v>
      </c>
      <c r="H184" s="1804">
        <f t="shared" si="15"/>
        <v>386.03299999999996</v>
      </c>
      <c r="I184" s="1805">
        <f>SUM(I185:I186)</f>
        <v>130.57</v>
      </c>
      <c r="J184" s="1805">
        <f>SUM(J185:J186)</f>
        <v>12.956999999999997</v>
      </c>
      <c r="K184" s="1804">
        <f>SUM(K185:K186)</f>
        <v>241.23399999999998</v>
      </c>
      <c r="L184" s="1804">
        <f>SUM(L185:L186)</f>
        <v>1.272</v>
      </c>
      <c r="M184" s="1018"/>
      <c r="N184" s="1018"/>
    </row>
    <row r="185" spans="1:15" x14ac:dyDescent="0.2">
      <c r="A185" s="467" t="s">
        <v>279</v>
      </c>
      <c r="B185" s="474">
        <v>968</v>
      </c>
      <c r="C185" s="474">
        <v>104</v>
      </c>
      <c r="D185" s="474" t="s">
        <v>77</v>
      </c>
      <c r="E185" s="474">
        <v>500</v>
      </c>
      <c r="F185" s="481">
        <v>244</v>
      </c>
      <c r="G185" s="481">
        <v>310</v>
      </c>
      <c r="H185" s="1802">
        <f t="shared" si="15"/>
        <v>115.345</v>
      </c>
      <c r="I185" s="1803">
        <f>110-0.315</f>
        <v>109.685</v>
      </c>
      <c r="J185" s="1803">
        <f>50-50+5.66</f>
        <v>5.66</v>
      </c>
      <c r="K185" s="1802">
        <v>0</v>
      </c>
      <c r="L185" s="1802">
        <v>0</v>
      </c>
      <c r="M185" s="1018"/>
      <c r="N185" s="1018"/>
    </row>
    <row r="186" spans="1:15" ht="13.5" customHeight="1" x14ac:dyDescent="0.2">
      <c r="A186" s="467" t="s">
        <v>280</v>
      </c>
      <c r="B186" s="474">
        <v>968</v>
      </c>
      <c r="C186" s="474">
        <v>104</v>
      </c>
      <c r="D186" s="474" t="s">
        <v>77</v>
      </c>
      <c r="E186" s="474">
        <v>500</v>
      </c>
      <c r="F186" s="481">
        <v>244</v>
      </c>
      <c r="G186" s="481">
        <v>340</v>
      </c>
      <c r="H186" s="1802">
        <f t="shared" si="15"/>
        <v>270.68799999999999</v>
      </c>
      <c r="I186" s="1803">
        <f>2.472+18.413</f>
        <v>20.885000000000002</v>
      </c>
      <c r="J186" s="1803">
        <f>260.272-18.413+5.4-239.962</f>
        <v>7.296999999999997</v>
      </c>
      <c r="K186" s="1802">
        <f>1.272+239.962</f>
        <v>241.23399999999998</v>
      </c>
      <c r="L186" s="1802">
        <v>1.272</v>
      </c>
      <c r="M186" s="1018"/>
      <c r="N186" s="1018"/>
    </row>
    <row r="187" spans="1:15" ht="15.75" customHeight="1" x14ac:dyDescent="0.2">
      <c r="A187" s="487" t="s">
        <v>1358</v>
      </c>
      <c r="B187" s="830">
        <v>968</v>
      </c>
      <c r="C187" s="830">
        <v>104</v>
      </c>
      <c r="D187" s="830" t="s">
        <v>70</v>
      </c>
      <c r="E187" s="830">
        <v>500</v>
      </c>
      <c r="F187" s="2099">
        <v>300</v>
      </c>
      <c r="G187" s="2099"/>
      <c r="H187" s="821">
        <f t="shared" si="15"/>
        <v>57.067</v>
      </c>
      <c r="I187" s="821">
        <f>I188+I198</f>
        <v>57.067</v>
      </c>
      <c r="J187" s="821">
        <f>J188+J198</f>
        <v>0</v>
      </c>
      <c r="K187" s="821">
        <f>K188+K198</f>
        <v>0</v>
      </c>
      <c r="L187" s="821">
        <f>L188+L198</f>
        <v>0</v>
      </c>
      <c r="M187" s="1018"/>
      <c r="N187" s="1018"/>
    </row>
    <row r="188" spans="1:15" ht="26.25" customHeight="1" x14ac:dyDescent="0.2">
      <c r="A188" s="1278" t="s">
        <v>1489</v>
      </c>
      <c r="B188" s="1285">
        <v>968</v>
      </c>
      <c r="C188" s="1285">
        <v>104</v>
      </c>
      <c r="D188" s="1285" t="s">
        <v>70</v>
      </c>
      <c r="E188" s="1285"/>
      <c r="F188" s="1279">
        <v>321</v>
      </c>
      <c r="G188" s="1279"/>
      <c r="H188" s="1286">
        <f t="shared" si="15"/>
        <v>57.067</v>
      </c>
      <c r="I188" s="1286">
        <f>I190+I195</f>
        <v>57.067</v>
      </c>
      <c r="J188" s="1286">
        <f>J190+J195</f>
        <v>0</v>
      </c>
      <c r="K188" s="1286">
        <f>K190+K195</f>
        <v>0</v>
      </c>
      <c r="L188" s="1286">
        <f>L190+L195</f>
        <v>0</v>
      </c>
      <c r="M188" s="1018"/>
      <c r="N188" s="1018"/>
    </row>
    <row r="189" spans="1:15" ht="18.75" customHeight="1" x14ac:dyDescent="0.2">
      <c r="A189" s="465" t="s">
        <v>380</v>
      </c>
      <c r="B189" s="156">
        <v>968</v>
      </c>
      <c r="C189" s="156">
        <v>104</v>
      </c>
      <c r="D189" s="156" t="s">
        <v>77</v>
      </c>
      <c r="E189" s="156">
        <v>500</v>
      </c>
      <c r="F189" s="479">
        <v>321</v>
      </c>
      <c r="G189" s="479">
        <v>200</v>
      </c>
      <c r="H189" s="2590">
        <f t="shared" si="15"/>
        <v>57.067</v>
      </c>
      <c r="I189" s="2590">
        <f>I190</f>
        <v>57.067</v>
      </c>
      <c r="J189" s="2590">
        <f>J190</f>
        <v>0</v>
      </c>
      <c r="K189" s="2590">
        <f>K190</f>
        <v>0</v>
      </c>
      <c r="L189" s="2590">
        <f>L190</f>
        <v>0</v>
      </c>
      <c r="M189" s="1018"/>
      <c r="N189" s="1018"/>
    </row>
    <row r="190" spans="1:15" ht="17.25" customHeight="1" x14ac:dyDescent="0.2">
      <c r="A190" s="467" t="s">
        <v>386</v>
      </c>
      <c r="B190" s="474">
        <v>968</v>
      </c>
      <c r="C190" s="474">
        <v>104</v>
      </c>
      <c r="D190" s="474" t="s">
        <v>77</v>
      </c>
      <c r="E190" s="474">
        <v>598</v>
      </c>
      <c r="F190" s="474">
        <v>321</v>
      </c>
      <c r="G190" s="480">
        <v>260</v>
      </c>
      <c r="H190" s="2656">
        <f>H191</f>
        <v>57.067</v>
      </c>
      <c r="I190" s="2693">
        <f t="shared" ref="I190:L191" si="16">I191</f>
        <v>57.067</v>
      </c>
      <c r="J190" s="2694">
        <f t="shared" si="16"/>
        <v>0</v>
      </c>
      <c r="K190" s="2694">
        <f t="shared" si="16"/>
        <v>0</v>
      </c>
      <c r="L190" s="2695">
        <f t="shared" si="16"/>
        <v>0</v>
      </c>
      <c r="M190" s="1018"/>
      <c r="N190" s="1018"/>
    </row>
    <row r="191" spans="1:15" x14ac:dyDescent="0.2">
      <c r="A191" s="468" t="s">
        <v>387</v>
      </c>
      <c r="B191" s="475">
        <v>968</v>
      </c>
      <c r="C191" s="475">
        <v>104</v>
      </c>
      <c r="D191" s="475" t="s">
        <v>77</v>
      </c>
      <c r="E191" s="475">
        <v>598</v>
      </c>
      <c r="F191" s="475">
        <v>321</v>
      </c>
      <c r="G191" s="481">
        <v>262</v>
      </c>
      <c r="H191" s="1803">
        <f>SUM(I191:L191)</f>
        <v>57.067</v>
      </c>
      <c r="I191" s="2696">
        <f>56.595+0.472</f>
        <v>57.067</v>
      </c>
      <c r="J191" s="2696">
        <f t="shared" si="16"/>
        <v>0</v>
      </c>
      <c r="K191" s="2696">
        <f t="shared" si="16"/>
        <v>0</v>
      </c>
      <c r="L191" s="2696">
        <f t="shared" si="16"/>
        <v>0</v>
      </c>
      <c r="M191" s="1018"/>
      <c r="N191" s="1018"/>
    </row>
    <row r="192" spans="1:15" hidden="1" x14ac:dyDescent="0.2">
      <c r="A192" s="468"/>
      <c r="B192" s="475"/>
      <c r="C192" s="475"/>
      <c r="D192" s="475"/>
      <c r="E192" s="475"/>
      <c r="F192" s="481"/>
      <c r="G192" s="481"/>
      <c r="H192" s="2580"/>
      <c r="I192" s="2581"/>
      <c r="J192" s="2581"/>
      <c r="K192" s="2580"/>
      <c r="L192" s="2580"/>
      <c r="M192" s="1018"/>
      <c r="N192" s="1018"/>
    </row>
    <row r="193" spans="1:14" hidden="1" x14ac:dyDescent="0.2">
      <c r="A193" s="468"/>
      <c r="B193" s="475"/>
      <c r="C193" s="475"/>
      <c r="D193" s="475"/>
      <c r="E193" s="475"/>
      <c r="F193" s="481"/>
      <c r="G193" s="481"/>
      <c r="H193" s="2582"/>
      <c r="I193" s="2583"/>
      <c r="J193" s="2583"/>
      <c r="K193" s="2582"/>
      <c r="L193" s="2582"/>
      <c r="M193" s="1018"/>
      <c r="N193" s="1018"/>
    </row>
    <row r="194" spans="1:14" hidden="1" x14ac:dyDescent="0.2">
      <c r="A194" s="467"/>
      <c r="B194" s="474"/>
      <c r="C194" s="474"/>
      <c r="D194" s="474"/>
      <c r="E194" s="474"/>
      <c r="F194" s="480"/>
      <c r="G194" s="480"/>
      <c r="H194" s="2584"/>
      <c r="I194" s="2585"/>
      <c r="J194" s="2585"/>
      <c r="K194" s="2584"/>
      <c r="L194" s="2584"/>
      <c r="M194" s="1018"/>
      <c r="N194" s="1018"/>
    </row>
    <row r="195" spans="1:14" hidden="1" x14ac:dyDescent="0.2">
      <c r="A195" s="468"/>
      <c r="B195" s="475"/>
      <c r="C195" s="475"/>
      <c r="D195" s="475"/>
      <c r="E195" s="475"/>
      <c r="F195" s="481"/>
      <c r="G195" s="481"/>
      <c r="H195" s="2580"/>
      <c r="I195" s="2581"/>
      <c r="J195" s="2581"/>
      <c r="K195" s="2580"/>
      <c r="L195" s="2580"/>
      <c r="M195" s="1018"/>
      <c r="N195" s="1018"/>
    </row>
    <row r="196" spans="1:14" hidden="1" x14ac:dyDescent="0.2">
      <c r="A196" s="468"/>
      <c r="B196" s="475"/>
      <c r="C196" s="475"/>
      <c r="D196" s="475"/>
      <c r="E196" s="475"/>
      <c r="F196" s="481"/>
      <c r="G196" s="481"/>
      <c r="H196" s="2580"/>
      <c r="I196" s="2581"/>
      <c r="J196" s="2581"/>
      <c r="K196" s="2580"/>
      <c r="L196" s="2580"/>
      <c r="M196" s="1018"/>
      <c r="N196" s="1018"/>
    </row>
    <row r="197" spans="1:14" ht="12.75" hidden="1" customHeight="1" x14ac:dyDescent="0.2">
      <c r="A197" s="468"/>
      <c r="B197" s="475"/>
      <c r="C197" s="475"/>
      <c r="D197" s="475"/>
      <c r="E197" s="475"/>
      <c r="F197" s="481"/>
      <c r="G197" s="481"/>
      <c r="H197" s="2580"/>
      <c r="I197" s="2581"/>
      <c r="J197" s="2581"/>
      <c r="K197" s="2580"/>
      <c r="L197" s="2580"/>
      <c r="M197" s="1018"/>
      <c r="N197" s="1018"/>
    </row>
    <row r="198" spans="1:14" ht="12.75" hidden="1" customHeight="1" x14ac:dyDescent="0.2">
      <c r="A198" s="465"/>
      <c r="B198" s="156"/>
      <c r="C198" s="156"/>
      <c r="D198" s="156"/>
      <c r="E198" s="156"/>
      <c r="F198" s="479"/>
      <c r="G198" s="479"/>
      <c r="H198" s="2579"/>
      <c r="I198" s="2586"/>
      <c r="J198" s="2586"/>
      <c r="K198" s="2586"/>
      <c r="L198" s="2579"/>
      <c r="M198" s="1018"/>
      <c r="N198" s="1018"/>
    </row>
    <row r="199" spans="1:14" ht="12.75" hidden="1" customHeight="1" x14ac:dyDescent="0.2">
      <c r="A199" s="467"/>
      <c r="B199" s="474"/>
      <c r="C199" s="474"/>
      <c r="D199" s="474"/>
      <c r="E199" s="474"/>
      <c r="F199" s="480"/>
      <c r="G199" s="480"/>
      <c r="H199" s="2584"/>
      <c r="I199" s="2585"/>
      <c r="J199" s="2586"/>
      <c r="K199" s="2579"/>
      <c r="L199" s="2579"/>
      <c r="M199" s="1018"/>
      <c r="N199" s="1018"/>
    </row>
    <row r="200" spans="1:14" ht="12.75" hidden="1" customHeight="1" x14ac:dyDescent="0.2">
      <c r="A200" s="467"/>
      <c r="B200" s="474"/>
      <c r="C200" s="474"/>
      <c r="D200" s="474"/>
      <c r="E200" s="474"/>
      <c r="F200" s="480"/>
      <c r="G200" s="480"/>
      <c r="H200" s="2584"/>
      <c r="I200" s="2585"/>
      <c r="J200" s="2585"/>
      <c r="K200" s="2584"/>
      <c r="L200" s="2584"/>
      <c r="M200" s="1018"/>
      <c r="N200" s="1018"/>
    </row>
    <row r="201" spans="1:14" ht="18" customHeight="1" x14ac:dyDescent="0.2">
      <c r="A201" s="487" t="s">
        <v>1360</v>
      </c>
      <c r="B201" s="830">
        <v>968</v>
      </c>
      <c r="C201" s="830">
        <v>104</v>
      </c>
      <c r="D201" s="830" t="s">
        <v>70</v>
      </c>
      <c r="E201" s="830">
        <v>500</v>
      </c>
      <c r="F201" s="2099">
        <v>800</v>
      </c>
      <c r="G201" s="2099"/>
      <c r="H201" s="821">
        <f>SUM(I201:L201)</f>
        <v>30.6</v>
      </c>
      <c r="I201" s="2100">
        <f>I202+I205</f>
        <v>0</v>
      </c>
      <c r="J201" s="2100">
        <f>J202+J205</f>
        <v>7.8380000000000001</v>
      </c>
      <c r="K201" s="2100">
        <f>K202+K205</f>
        <v>17.762</v>
      </c>
      <c r="L201" s="2100">
        <f>L202+L205</f>
        <v>5</v>
      </c>
      <c r="M201" s="1018"/>
      <c r="N201" s="1018"/>
    </row>
    <row r="202" spans="1:14" ht="12.75" customHeight="1" x14ac:dyDescent="0.2">
      <c r="A202" s="1278" t="s">
        <v>1221</v>
      </c>
      <c r="B202" s="1285">
        <v>968</v>
      </c>
      <c r="C202" s="1285">
        <v>104</v>
      </c>
      <c r="D202" s="1285" t="s">
        <v>70</v>
      </c>
      <c r="E202" s="1285">
        <v>500</v>
      </c>
      <c r="F202" s="1279">
        <v>851</v>
      </c>
      <c r="G202" s="2106"/>
      <c r="H202" s="1286">
        <f t="shared" ref="H202:L206" si="17">H203</f>
        <v>20.6</v>
      </c>
      <c r="I202" s="1286">
        <f t="shared" si="17"/>
        <v>0</v>
      </c>
      <c r="J202" s="1286">
        <f t="shared" si="17"/>
        <v>7.8380000000000001</v>
      </c>
      <c r="K202" s="1286">
        <f t="shared" si="17"/>
        <v>7.7619999999999996</v>
      </c>
      <c r="L202" s="1286">
        <f t="shared" si="17"/>
        <v>5</v>
      </c>
      <c r="M202" s="1018"/>
      <c r="N202" s="1018"/>
    </row>
    <row r="203" spans="1:14" ht="12.75" customHeight="1" x14ac:dyDescent="0.2">
      <c r="A203" s="465" t="s">
        <v>380</v>
      </c>
      <c r="B203" s="156">
        <v>968</v>
      </c>
      <c r="C203" s="156">
        <v>104</v>
      </c>
      <c r="D203" s="156" t="s">
        <v>77</v>
      </c>
      <c r="E203" s="156">
        <v>500</v>
      </c>
      <c r="F203" s="479">
        <v>851</v>
      </c>
      <c r="G203" s="479">
        <v>200</v>
      </c>
      <c r="H203" s="2589">
        <f t="shared" si="17"/>
        <v>20.6</v>
      </c>
      <c r="I203" s="2589">
        <f t="shared" si="17"/>
        <v>0</v>
      </c>
      <c r="J203" s="2589">
        <f t="shared" si="17"/>
        <v>7.8380000000000001</v>
      </c>
      <c r="K203" s="2589">
        <f t="shared" si="17"/>
        <v>7.7619999999999996</v>
      </c>
      <c r="L203" s="2589">
        <f t="shared" si="17"/>
        <v>5</v>
      </c>
      <c r="M203" s="1018"/>
      <c r="N203" s="1018"/>
    </row>
    <row r="204" spans="1:14" ht="12.75" customHeight="1" x14ac:dyDescent="0.2">
      <c r="A204" s="467" t="s">
        <v>278</v>
      </c>
      <c r="B204" s="474">
        <v>968</v>
      </c>
      <c r="C204" s="474">
        <v>104</v>
      </c>
      <c r="D204" s="474" t="s">
        <v>77</v>
      </c>
      <c r="E204" s="474">
        <v>500</v>
      </c>
      <c r="F204" s="480">
        <v>851</v>
      </c>
      <c r="G204" s="480">
        <v>290</v>
      </c>
      <c r="H204" s="2590">
        <f>SUM(I204:L204)</f>
        <v>20.6</v>
      </c>
      <c r="I204" s="2591">
        <f>7.2-1-6.2</f>
        <v>0</v>
      </c>
      <c r="J204" s="2591">
        <f>5+2.838</f>
        <v>7.8380000000000001</v>
      </c>
      <c r="K204" s="2590">
        <f>10.6-2.838</f>
        <v>7.7619999999999996</v>
      </c>
      <c r="L204" s="2590">
        <v>5</v>
      </c>
      <c r="M204" s="1018"/>
      <c r="N204" s="1018"/>
    </row>
    <row r="205" spans="1:14" ht="12.75" customHeight="1" x14ac:dyDescent="0.2">
      <c r="A205" s="1278" t="s">
        <v>1220</v>
      </c>
      <c r="B205" s="1285">
        <v>968</v>
      </c>
      <c r="C205" s="1285">
        <v>104</v>
      </c>
      <c r="D205" s="1285" t="s">
        <v>70</v>
      </c>
      <c r="E205" s="1285">
        <v>500</v>
      </c>
      <c r="F205" s="1279">
        <v>852</v>
      </c>
      <c r="G205" s="2106"/>
      <c r="H205" s="1286">
        <f t="shared" si="17"/>
        <v>10</v>
      </c>
      <c r="I205" s="1286">
        <f t="shared" si="17"/>
        <v>0</v>
      </c>
      <c r="J205" s="1286">
        <f t="shared" si="17"/>
        <v>0</v>
      </c>
      <c r="K205" s="1286">
        <f t="shared" si="17"/>
        <v>10</v>
      </c>
      <c r="L205" s="1286">
        <f t="shared" si="17"/>
        <v>0</v>
      </c>
      <c r="M205" s="1018"/>
      <c r="N205" s="1018"/>
    </row>
    <row r="206" spans="1:14" ht="12.75" customHeight="1" x14ac:dyDescent="0.2">
      <c r="A206" s="465" t="s">
        <v>380</v>
      </c>
      <c r="B206" s="156">
        <v>968</v>
      </c>
      <c r="C206" s="156">
        <v>104</v>
      </c>
      <c r="D206" s="156" t="s">
        <v>77</v>
      </c>
      <c r="E206" s="156">
        <v>500</v>
      </c>
      <c r="F206" s="479">
        <v>852</v>
      </c>
      <c r="G206" s="479">
        <v>200</v>
      </c>
      <c r="H206" s="2589">
        <f t="shared" si="17"/>
        <v>10</v>
      </c>
      <c r="I206" s="2589">
        <f t="shared" si="17"/>
        <v>0</v>
      </c>
      <c r="J206" s="2589">
        <f t="shared" si="17"/>
        <v>0</v>
      </c>
      <c r="K206" s="2589">
        <f t="shared" si="17"/>
        <v>10</v>
      </c>
      <c r="L206" s="2589">
        <f t="shared" si="17"/>
        <v>0</v>
      </c>
      <c r="M206" s="1018"/>
      <c r="N206" s="1018"/>
    </row>
    <row r="207" spans="1:14" ht="12.75" customHeight="1" x14ac:dyDescent="0.2">
      <c r="A207" s="467" t="s">
        <v>278</v>
      </c>
      <c r="B207" s="474">
        <v>968</v>
      </c>
      <c r="C207" s="474">
        <v>104</v>
      </c>
      <c r="D207" s="474" t="s">
        <v>77</v>
      </c>
      <c r="E207" s="474">
        <v>500</v>
      </c>
      <c r="F207" s="480">
        <v>852</v>
      </c>
      <c r="G207" s="480">
        <v>290</v>
      </c>
      <c r="H207" s="2590">
        <f>SUM(I207:L207)</f>
        <v>10</v>
      </c>
      <c r="I207" s="2591">
        <f>10-10</f>
        <v>0</v>
      </c>
      <c r="J207" s="2591">
        <f>10-10</f>
        <v>0</v>
      </c>
      <c r="K207" s="2590">
        <v>10</v>
      </c>
      <c r="L207" s="2590">
        <v>0</v>
      </c>
      <c r="M207" s="1018"/>
      <c r="N207" s="1018"/>
    </row>
    <row r="208" spans="1:14" ht="39.75" customHeight="1" x14ac:dyDescent="0.2">
      <c r="A208" s="487" t="s">
        <v>1478</v>
      </c>
      <c r="B208" s="166">
        <v>968</v>
      </c>
      <c r="C208" s="166">
        <v>104</v>
      </c>
      <c r="D208" s="166" t="s">
        <v>1479</v>
      </c>
      <c r="E208" s="166"/>
      <c r="F208" s="482"/>
      <c r="G208" s="940"/>
      <c r="H208" s="832">
        <f>H210</f>
        <v>5.6</v>
      </c>
      <c r="I208" s="959">
        <f t="shared" ref="I208:L209" si="18">I209</f>
        <v>0</v>
      </c>
      <c r="J208" s="959">
        <f t="shared" si="18"/>
        <v>0</v>
      </c>
      <c r="K208" s="959">
        <f t="shared" si="18"/>
        <v>5.6</v>
      </c>
      <c r="L208" s="832">
        <f t="shared" si="18"/>
        <v>0</v>
      </c>
      <c r="M208" s="1018"/>
      <c r="N208" s="1018"/>
    </row>
    <row r="209" spans="1:14" ht="18" customHeight="1" x14ac:dyDescent="0.2">
      <c r="A209" s="487" t="s">
        <v>1357</v>
      </c>
      <c r="B209" s="830">
        <v>968</v>
      </c>
      <c r="C209" s="830">
        <v>104</v>
      </c>
      <c r="D209" s="830" t="s">
        <v>1479</v>
      </c>
      <c r="E209" s="830">
        <v>598</v>
      </c>
      <c r="F209" s="830">
        <v>200</v>
      </c>
      <c r="G209" s="1261"/>
      <c r="H209" s="821">
        <f>SUM(I209:L209)</f>
        <v>5.6</v>
      </c>
      <c r="I209" s="2100">
        <f t="shared" si="18"/>
        <v>0</v>
      </c>
      <c r="J209" s="2100">
        <f t="shared" si="18"/>
        <v>0</v>
      </c>
      <c r="K209" s="2100">
        <f t="shared" si="18"/>
        <v>5.6</v>
      </c>
      <c r="L209" s="821">
        <f t="shared" si="18"/>
        <v>0</v>
      </c>
      <c r="M209" s="1018"/>
      <c r="N209" s="1018"/>
    </row>
    <row r="210" spans="1:14" ht="15" customHeight="1" x14ac:dyDescent="0.2">
      <c r="A210" s="1278" t="s">
        <v>1201</v>
      </c>
      <c r="B210" s="1285">
        <v>968</v>
      </c>
      <c r="C210" s="1285">
        <v>104</v>
      </c>
      <c r="D210" s="1285" t="s">
        <v>1479</v>
      </c>
      <c r="E210" s="1285">
        <v>598</v>
      </c>
      <c r="F210" s="1285">
        <v>244</v>
      </c>
      <c r="G210" s="1261"/>
      <c r="H210" s="1286">
        <f>H214+H217</f>
        <v>5.6</v>
      </c>
      <c r="I210" s="1286">
        <f>I214+I217</f>
        <v>0</v>
      </c>
      <c r="J210" s="1286">
        <f>J214+J217</f>
        <v>0</v>
      </c>
      <c r="K210" s="1286">
        <f>K214+K217</f>
        <v>5.6</v>
      </c>
      <c r="L210" s="1286">
        <f>L214+L217</f>
        <v>0</v>
      </c>
      <c r="M210" s="1018"/>
      <c r="N210" s="1018"/>
    </row>
    <row r="211" spans="1:14" ht="16.5" hidden="1" customHeight="1" x14ac:dyDescent="0.2">
      <c r="A211" s="465" t="s">
        <v>380</v>
      </c>
      <c r="B211" s="156">
        <v>968</v>
      </c>
      <c r="C211" s="156">
        <v>104</v>
      </c>
      <c r="D211" s="156" t="s">
        <v>76</v>
      </c>
      <c r="E211" s="156">
        <v>500</v>
      </c>
      <c r="F211" s="156">
        <v>500</v>
      </c>
      <c r="G211" s="479">
        <v>200</v>
      </c>
      <c r="H211" s="1804">
        <f t="shared" ref="H211:L212" si="19">H212</f>
        <v>0</v>
      </c>
      <c r="I211" s="1804">
        <f t="shared" si="19"/>
        <v>0</v>
      </c>
      <c r="J211" s="1805">
        <f t="shared" si="19"/>
        <v>0</v>
      </c>
      <c r="K211" s="1804">
        <f t="shared" si="19"/>
        <v>0</v>
      </c>
      <c r="L211" s="1804">
        <f t="shared" si="19"/>
        <v>0</v>
      </c>
      <c r="M211" s="1018"/>
      <c r="N211" s="1018"/>
    </row>
    <row r="212" spans="1:14" hidden="1" x14ac:dyDescent="0.2">
      <c r="A212" s="467" t="s">
        <v>381</v>
      </c>
      <c r="B212" s="474">
        <v>968</v>
      </c>
      <c r="C212" s="474">
        <v>104</v>
      </c>
      <c r="D212" s="474" t="s">
        <v>76</v>
      </c>
      <c r="E212" s="474">
        <v>598</v>
      </c>
      <c r="F212" s="474">
        <v>598</v>
      </c>
      <c r="G212" s="480">
        <v>220</v>
      </c>
      <c r="H212" s="2590">
        <f t="shared" si="19"/>
        <v>0</v>
      </c>
      <c r="I212" s="2590">
        <f t="shared" si="19"/>
        <v>0</v>
      </c>
      <c r="J212" s="2591">
        <f t="shared" si="19"/>
        <v>0</v>
      </c>
      <c r="K212" s="2590">
        <f t="shared" si="19"/>
        <v>0</v>
      </c>
      <c r="L212" s="2590">
        <f t="shared" si="19"/>
        <v>0</v>
      </c>
      <c r="M212" s="1018"/>
      <c r="N212" s="1018"/>
    </row>
    <row r="213" spans="1:14" hidden="1" x14ac:dyDescent="0.2">
      <c r="A213" s="468" t="s">
        <v>383</v>
      </c>
      <c r="B213" s="475">
        <v>968</v>
      </c>
      <c r="C213" s="475">
        <v>104</v>
      </c>
      <c r="D213" s="475" t="s">
        <v>76</v>
      </c>
      <c r="E213" s="475">
        <v>598</v>
      </c>
      <c r="F213" s="475">
        <v>598</v>
      </c>
      <c r="G213" s="481">
        <v>226</v>
      </c>
      <c r="H213" s="2590">
        <f>SUM(I213:L213)</f>
        <v>0</v>
      </c>
      <c r="I213" s="2591">
        <f>20-20</f>
        <v>0</v>
      </c>
      <c r="J213" s="2591">
        <v>0</v>
      </c>
      <c r="K213" s="2590">
        <v>0</v>
      </c>
      <c r="L213" s="2590">
        <v>0</v>
      </c>
      <c r="M213" s="1018"/>
      <c r="N213" s="1018"/>
    </row>
    <row r="214" spans="1:14" x14ac:dyDescent="0.2">
      <c r="A214" s="938" t="s">
        <v>380</v>
      </c>
      <c r="B214" s="156">
        <v>968</v>
      </c>
      <c r="C214" s="156">
        <v>104</v>
      </c>
      <c r="D214" s="156" t="s">
        <v>1480</v>
      </c>
      <c r="E214" s="156">
        <v>598</v>
      </c>
      <c r="F214" s="156">
        <v>244</v>
      </c>
      <c r="G214" s="940">
        <v>200</v>
      </c>
      <c r="H214" s="2590">
        <f>SUM(I214:L214)</f>
        <v>5.6</v>
      </c>
      <c r="I214" s="2591">
        <f t="shared" ref="I214:L215" si="20">I215</f>
        <v>0</v>
      </c>
      <c r="J214" s="2591">
        <f t="shared" si="20"/>
        <v>0</v>
      </c>
      <c r="K214" s="2591">
        <f t="shared" si="20"/>
        <v>5.6</v>
      </c>
      <c r="L214" s="2590">
        <f t="shared" si="20"/>
        <v>0</v>
      </c>
      <c r="M214" s="1018"/>
      <c r="N214" s="1018"/>
    </row>
    <row r="215" spans="1:14" x14ac:dyDescent="0.2">
      <c r="A215" s="467" t="s">
        <v>381</v>
      </c>
      <c r="B215" s="475">
        <v>968</v>
      </c>
      <c r="C215" s="475">
        <v>104</v>
      </c>
      <c r="D215" s="475" t="s">
        <v>1480</v>
      </c>
      <c r="E215" s="475">
        <v>598</v>
      </c>
      <c r="F215" s="475">
        <v>244</v>
      </c>
      <c r="G215" s="480">
        <v>220</v>
      </c>
      <c r="H215" s="2590">
        <f>SUM(I215:L215)</f>
        <v>5.6</v>
      </c>
      <c r="I215" s="2591">
        <f t="shared" si="20"/>
        <v>0</v>
      </c>
      <c r="J215" s="2591">
        <f t="shared" si="20"/>
        <v>0</v>
      </c>
      <c r="K215" s="2591">
        <f t="shared" si="20"/>
        <v>5.6</v>
      </c>
      <c r="L215" s="2590">
        <f t="shared" si="20"/>
        <v>0</v>
      </c>
      <c r="M215" s="1018"/>
      <c r="N215" s="1018"/>
    </row>
    <row r="216" spans="1:14" x14ac:dyDescent="0.2">
      <c r="A216" s="468" t="s">
        <v>383</v>
      </c>
      <c r="B216" s="475">
        <v>968</v>
      </c>
      <c r="C216" s="475">
        <v>104</v>
      </c>
      <c r="D216" s="475" t="s">
        <v>1480</v>
      </c>
      <c r="E216" s="475">
        <v>598</v>
      </c>
      <c r="F216" s="475">
        <v>244</v>
      </c>
      <c r="G216" s="481">
        <v>226</v>
      </c>
      <c r="H216" s="2590">
        <f>SUM(I216:L216)</f>
        <v>5.6</v>
      </c>
      <c r="I216" s="2591">
        <f>5-5</f>
        <v>0</v>
      </c>
      <c r="J216" s="2591">
        <f>5.6-5.6</f>
        <v>0</v>
      </c>
      <c r="K216" s="2590">
        <v>5.6</v>
      </c>
      <c r="L216" s="2590">
        <v>0</v>
      </c>
      <c r="M216" s="1018"/>
      <c r="N216" s="1018"/>
    </row>
    <row r="217" spans="1:14" hidden="1" x14ac:dyDescent="0.2">
      <c r="A217" s="465" t="s">
        <v>384</v>
      </c>
      <c r="B217" s="156">
        <v>968</v>
      </c>
      <c r="C217" s="156">
        <v>104</v>
      </c>
      <c r="D217" s="156" t="s">
        <v>76</v>
      </c>
      <c r="E217" s="156">
        <v>598</v>
      </c>
      <c r="F217" s="156">
        <v>598</v>
      </c>
      <c r="G217" s="479">
        <v>300</v>
      </c>
      <c r="H217" s="2579">
        <f>SUM(H218:H219)</f>
        <v>0</v>
      </c>
      <c r="I217" s="2586">
        <f>SUM(I218:I219)</f>
        <v>0</v>
      </c>
      <c r="J217" s="2586">
        <f>SUM(J218:J219)</f>
        <v>0</v>
      </c>
      <c r="K217" s="2579">
        <f>SUM(K218:K219)</f>
        <v>0</v>
      </c>
      <c r="L217" s="2579">
        <f>SUM(L218:L219)</f>
        <v>0</v>
      </c>
      <c r="M217" s="1018"/>
      <c r="N217" s="1018"/>
    </row>
    <row r="218" spans="1:14" hidden="1" x14ac:dyDescent="0.2">
      <c r="A218" s="468" t="s">
        <v>279</v>
      </c>
      <c r="B218" s="475">
        <v>968</v>
      </c>
      <c r="C218" s="475">
        <v>104</v>
      </c>
      <c r="D218" s="475" t="s">
        <v>76</v>
      </c>
      <c r="E218" s="475">
        <v>598</v>
      </c>
      <c r="F218" s="475">
        <v>598</v>
      </c>
      <c r="G218" s="481">
        <v>310</v>
      </c>
      <c r="H218" s="2580">
        <f>SUM(I218:L218)</f>
        <v>0</v>
      </c>
      <c r="I218" s="2581">
        <f>25-25</f>
        <v>0</v>
      </c>
      <c r="J218" s="2581">
        <v>0</v>
      </c>
      <c r="K218" s="2580">
        <v>0</v>
      </c>
      <c r="L218" s="2580">
        <v>0</v>
      </c>
      <c r="M218" s="1018"/>
      <c r="N218" s="1018"/>
    </row>
    <row r="219" spans="1:14" ht="15" hidden="1" customHeight="1" x14ac:dyDescent="0.2">
      <c r="A219" s="468" t="s">
        <v>280</v>
      </c>
      <c r="B219" s="475">
        <v>968</v>
      </c>
      <c r="C219" s="475">
        <v>104</v>
      </c>
      <c r="D219" s="475" t="s">
        <v>76</v>
      </c>
      <c r="E219" s="475">
        <v>598</v>
      </c>
      <c r="F219" s="475">
        <v>598</v>
      </c>
      <c r="G219" s="481">
        <v>340</v>
      </c>
      <c r="H219" s="2580">
        <f>SUM(I219:L219)</f>
        <v>0</v>
      </c>
      <c r="I219" s="2581">
        <v>0</v>
      </c>
      <c r="J219" s="2581">
        <v>0</v>
      </c>
      <c r="K219" s="2580">
        <v>0</v>
      </c>
      <c r="L219" s="2580">
        <v>0</v>
      </c>
      <c r="M219" s="1018"/>
      <c r="N219" s="1018"/>
    </row>
    <row r="220" spans="1:14" ht="16.5" customHeight="1" x14ac:dyDescent="0.2">
      <c r="A220" s="941" t="s">
        <v>31</v>
      </c>
      <c r="B220" s="942">
        <v>968</v>
      </c>
      <c r="C220" s="942">
        <v>111</v>
      </c>
      <c r="D220" s="942"/>
      <c r="E220" s="942"/>
      <c r="F220" s="943"/>
      <c r="G220" s="943"/>
      <c r="H220" s="2688">
        <f>SUM(I220:L220)</f>
        <v>2739.1710000000003</v>
      </c>
      <c r="I220" s="2687">
        <f t="shared" ref="H220:L224" si="21">I221</f>
        <v>0</v>
      </c>
      <c r="J220" s="2687">
        <f t="shared" si="21"/>
        <v>0</v>
      </c>
      <c r="K220" s="2688">
        <f t="shared" si="21"/>
        <v>2263.652</v>
      </c>
      <c r="L220" s="2688">
        <f>L221</f>
        <v>475.51900000000006</v>
      </c>
      <c r="M220" s="1018"/>
      <c r="N220" s="1018"/>
    </row>
    <row r="221" spans="1:14" ht="14.25" customHeight="1" x14ac:dyDescent="0.2">
      <c r="A221" s="834" t="s">
        <v>32</v>
      </c>
      <c r="B221" s="829">
        <v>968</v>
      </c>
      <c r="C221" s="829">
        <v>111</v>
      </c>
      <c r="D221" s="829" t="s">
        <v>34</v>
      </c>
      <c r="E221" s="829"/>
      <c r="F221" s="831"/>
      <c r="G221" s="831"/>
      <c r="H221" s="832">
        <f>H223</f>
        <v>2739.1710000000003</v>
      </c>
      <c r="I221" s="959">
        <f>I222</f>
        <v>0</v>
      </c>
      <c r="J221" s="959">
        <f t="shared" si="21"/>
        <v>0</v>
      </c>
      <c r="K221" s="959">
        <f t="shared" si="21"/>
        <v>2263.652</v>
      </c>
      <c r="L221" s="832">
        <f t="shared" si="21"/>
        <v>475.51900000000006</v>
      </c>
      <c r="M221" s="1018"/>
      <c r="N221" s="1018"/>
    </row>
    <row r="222" spans="1:14" ht="14.25" customHeight="1" x14ac:dyDescent="0.2">
      <c r="A222" s="487" t="s">
        <v>1360</v>
      </c>
      <c r="B222" s="830">
        <v>968</v>
      </c>
      <c r="C222" s="830">
        <v>111</v>
      </c>
      <c r="D222" s="830" t="s">
        <v>34</v>
      </c>
      <c r="E222" s="830">
        <v>13</v>
      </c>
      <c r="F222" s="2099">
        <v>800</v>
      </c>
      <c r="G222" s="2099"/>
      <c r="H222" s="821">
        <f>SUM(I222:L222)</f>
        <v>2739.1710000000003</v>
      </c>
      <c r="I222" s="2100">
        <f>I223</f>
        <v>0</v>
      </c>
      <c r="J222" s="2100">
        <f>J223</f>
        <v>0</v>
      </c>
      <c r="K222" s="2100">
        <f>K223</f>
        <v>2263.652</v>
      </c>
      <c r="L222" s="821">
        <f>L223</f>
        <v>475.51900000000006</v>
      </c>
      <c r="M222" s="1018"/>
      <c r="N222" s="1018"/>
    </row>
    <row r="223" spans="1:14" ht="13.5" customHeight="1" x14ac:dyDescent="0.2">
      <c r="A223" s="2105" t="s">
        <v>1119</v>
      </c>
      <c r="B223" s="1285">
        <v>968</v>
      </c>
      <c r="C223" s="1285">
        <v>111</v>
      </c>
      <c r="D223" s="1285" t="s">
        <v>34</v>
      </c>
      <c r="E223" s="1285">
        <v>13</v>
      </c>
      <c r="F223" s="1279">
        <v>870</v>
      </c>
      <c r="G223" s="1279"/>
      <c r="H223" s="1286">
        <f t="shared" si="21"/>
        <v>2739.1710000000003</v>
      </c>
      <c r="I223" s="1287">
        <f t="shared" si="21"/>
        <v>0</v>
      </c>
      <c r="J223" s="1287">
        <f t="shared" si="21"/>
        <v>0</v>
      </c>
      <c r="K223" s="1286">
        <f t="shared" si="21"/>
        <v>2263.652</v>
      </c>
      <c r="L223" s="1286">
        <f>L224</f>
        <v>475.51900000000006</v>
      </c>
      <c r="M223" s="1018"/>
      <c r="N223" s="1018"/>
    </row>
    <row r="224" spans="1:14" ht="14.25" customHeight="1" x14ac:dyDescent="0.2">
      <c r="A224" s="938" t="s">
        <v>380</v>
      </c>
      <c r="B224" s="939">
        <v>968</v>
      </c>
      <c r="C224" s="939">
        <v>111</v>
      </c>
      <c r="D224" s="939" t="s">
        <v>34</v>
      </c>
      <c r="E224" s="939">
        <v>13</v>
      </c>
      <c r="F224" s="940">
        <v>870</v>
      </c>
      <c r="G224" s="940">
        <v>200</v>
      </c>
      <c r="H224" s="2657">
        <f t="shared" si="21"/>
        <v>2739.1710000000003</v>
      </c>
      <c r="I224" s="2656">
        <f t="shared" si="21"/>
        <v>0</v>
      </c>
      <c r="J224" s="2656">
        <f t="shared" si="21"/>
        <v>0</v>
      </c>
      <c r="K224" s="2657">
        <f t="shared" si="21"/>
        <v>2263.652</v>
      </c>
      <c r="L224" s="2657">
        <f>L225</f>
        <v>475.51900000000006</v>
      </c>
      <c r="M224" s="1018"/>
      <c r="N224" s="1018"/>
    </row>
    <row r="225" spans="1:14" ht="14.25" customHeight="1" x14ac:dyDescent="0.2">
      <c r="A225" s="467" t="s">
        <v>278</v>
      </c>
      <c r="B225" s="474">
        <v>968</v>
      </c>
      <c r="C225" s="474">
        <v>111</v>
      </c>
      <c r="D225" s="474" t="s">
        <v>34</v>
      </c>
      <c r="E225" s="474">
        <v>13</v>
      </c>
      <c r="F225" s="480">
        <v>870</v>
      </c>
      <c r="G225" s="480">
        <v>290</v>
      </c>
      <c r="H225" s="2657">
        <f>SUM(I225:L225)</f>
        <v>2739.1710000000003</v>
      </c>
      <c r="I225" s="2656">
        <f>473.333-473.333+20.85-0.472-20.378</f>
        <v>0</v>
      </c>
      <c r="J225" s="2656">
        <f>186.455-186.455+20.85+137.392-5.66-152.582+348.286-73.855-274.431</f>
        <v>0</v>
      </c>
      <c r="K225" s="2657">
        <f>20.85-20.85+1240+1023.652</f>
        <v>2263.652</v>
      </c>
      <c r="L225" s="2657">
        <f>3000-1779.466+20.85-135.3-8.405-700+80-2.16</f>
        <v>475.51900000000006</v>
      </c>
      <c r="M225" s="1018"/>
      <c r="N225" s="1018"/>
    </row>
    <row r="226" spans="1:14" ht="18.75" customHeight="1" x14ac:dyDescent="0.2">
      <c r="A226" s="488" t="s">
        <v>464</v>
      </c>
      <c r="B226" s="473">
        <v>968</v>
      </c>
      <c r="C226" s="473">
        <v>113</v>
      </c>
      <c r="D226" s="473"/>
      <c r="E226" s="473"/>
      <c r="F226" s="478"/>
      <c r="G226" s="478"/>
      <c r="H226" s="2688">
        <f>SUM(I226:L226)</f>
        <v>1275.99</v>
      </c>
      <c r="I226" s="2687">
        <f>I227+I240+I245+I250+I255+I261+I266+I273</f>
        <v>39.979999999999997</v>
      </c>
      <c r="J226" s="2687">
        <f>J227+J240+J245+J250+J255+J261+J266+J273</f>
        <v>341.99</v>
      </c>
      <c r="K226" s="2687">
        <f>K227+K240+K245+K250+K255+K261+K266+K273</f>
        <v>457.38</v>
      </c>
      <c r="L226" s="2687">
        <f>L227+L240+L245+L250+L255+L261+L266+L273</f>
        <v>436.64</v>
      </c>
      <c r="M226" s="1018"/>
      <c r="N226" s="1018"/>
    </row>
    <row r="227" spans="1:14" ht="27" customHeight="1" x14ac:dyDescent="0.2">
      <c r="A227" s="487" t="s">
        <v>1136</v>
      </c>
      <c r="B227" s="166">
        <v>968</v>
      </c>
      <c r="C227" s="166">
        <v>113</v>
      </c>
      <c r="D227" s="166" t="s">
        <v>1135</v>
      </c>
      <c r="E227" s="166"/>
      <c r="F227" s="482"/>
      <c r="G227" s="482"/>
      <c r="H227" s="832">
        <f>H229</f>
        <v>109.65</v>
      </c>
      <c r="I227" s="959">
        <f t="shared" ref="I227:L228" si="22">I228</f>
        <v>0</v>
      </c>
      <c r="J227" s="959">
        <f t="shared" si="22"/>
        <v>0</v>
      </c>
      <c r="K227" s="959">
        <f t="shared" si="22"/>
        <v>0</v>
      </c>
      <c r="L227" s="959">
        <f t="shared" si="22"/>
        <v>109.65</v>
      </c>
      <c r="M227" s="1018"/>
      <c r="N227" s="1018"/>
    </row>
    <row r="228" spans="1:14" ht="17.25" customHeight="1" x14ac:dyDescent="0.2">
      <c r="A228" s="487" t="s">
        <v>1357</v>
      </c>
      <c r="B228" s="1285">
        <v>968</v>
      </c>
      <c r="C228" s="1285">
        <v>113</v>
      </c>
      <c r="D228" s="1285" t="s">
        <v>1135</v>
      </c>
      <c r="E228" s="1285">
        <v>500</v>
      </c>
      <c r="F228" s="1279">
        <v>200</v>
      </c>
      <c r="G228" s="482"/>
      <c r="H228" s="832">
        <f>SUM(I228:L228)</f>
        <v>109.65</v>
      </c>
      <c r="I228" s="959">
        <f t="shared" si="22"/>
        <v>0</v>
      </c>
      <c r="J228" s="959">
        <f t="shared" si="22"/>
        <v>0</v>
      </c>
      <c r="K228" s="959">
        <f t="shared" si="22"/>
        <v>0</v>
      </c>
      <c r="L228" s="832">
        <f t="shared" si="22"/>
        <v>109.65</v>
      </c>
      <c r="M228" s="1018"/>
      <c r="N228" s="1018"/>
    </row>
    <row r="229" spans="1:14" ht="12.75" customHeight="1" x14ac:dyDescent="0.2">
      <c r="A229" s="1278" t="s">
        <v>1201</v>
      </c>
      <c r="B229" s="1285">
        <v>968</v>
      </c>
      <c r="C229" s="1285">
        <v>113</v>
      </c>
      <c r="D229" s="1285" t="s">
        <v>1135</v>
      </c>
      <c r="E229" s="1285">
        <v>500</v>
      </c>
      <c r="F229" s="1279">
        <v>244</v>
      </c>
      <c r="G229" s="1279"/>
      <c r="H229" s="1286">
        <f t="shared" ref="H229:L230" si="23">H230</f>
        <v>109.65</v>
      </c>
      <c r="I229" s="1287">
        <f t="shared" si="23"/>
        <v>0</v>
      </c>
      <c r="J229" s="1287">
        <f t="shared" si="23"/>
        <v>0</v>
      </c>
      <c r="K229" s="1286">
        <f t="shared" si="23"/>
        <v>0</v>
      </c>
      <c r="L229" s="1286">
        <f t="shared" si="23"/>
        <v>109.65</v>
      </c>
      <c r="M229" s="1018"/>
      <c r="N229" s="1018"/>
    </row>
    <row r="230" spans="1:14" ht="12.75" customHeight="1" x14ac:dyDescent="0.2">
      <c r="A230" s="465" t="s">
        <v>380</v>
      </c>
      <c r="B230" s="156">
        <v>968</v>
      </c>
      <c r="C230" s="156">
        <v>113</v>
      </c>
      <c r="D230" s="156" t="s">
        <v>1135</v>
      </c>
      <c r="E230" s="156">
        <v>500</v>
      </c>
      <c r="F230" s="479">
        <v>244</v>
      </c>
      <c r="G230" s="479">
        <v>200</v>
      </c>
      <c r="H230" s="1804">
        <f t="shared" si="23"/>
        <v>109.65</v>
      </c>
      <c r="I230" s="1805">
        <f t="shared" si="23"/>
        <v>0</v>
      </c>
      <c r="J230" s="1805">
        <f t="shared" si="23"/>
        <v>0</v>
      </c>
      <c r="K230" s="1804">
        <f t="shared" si="23"/>
        <v>0</v>
      </c>
      <c r="L230" s="1804">
        <f t="shared" si="23"/>
        <v>109.65</v>
      </c>
      <c r="M230" s="1018"/>
      <c r="N230" s="1018"/>
    </row>
    <row r="231" spans="1:14" ht="13.5" customHeight="1" x14ac:dyDescent="0.2">
      <c r="A231" s="468" t="s">
        <v>383</v>
      </c>
      <c r="B231" s="475">
        <v>968</v>
      </c>
      <c r="C231" s="475">
        <v>113</v>
      </c>
      <c r="D231" s="475" t="s">
        <v>1135</v>
      </c>
      <c r="E231" s="475">
        <v>500</v>
      </c>
      <c r="F231" s="481">
        <v>244</v>
      </c>
      <c r="G231" s="481">
        <v>226</v>
      </c>
      <c r="H231" s="1802">
        <f>SUM(I231:L231)</f>
        <v>109.65</v>
      </c>
      <c r="I231" s="1803">
        <f>109.65-109.65</f>
        <v>0</v>
      </c>
      <c r="J231" s="1803">
        <v>0</v>
      </c>
      <c r="K231" s="1802">
        <v>0</v>
      </c>
      <c r="L231" s="1802">
        <f>109.65</f>
        <v>109.65</v>
      </c>
      <c r="M231" s="1018"/>
      <c r="N231" s="1018"/>
    </row>
    <row r="232" spans="1:14" ht="51.75" hidden="1" customHeight="1" x14ac:dyDescent="0.2">
      <c r="A232" s="487" t="s">
        <v>468</v>
      </c>
      <c r="B232" s="166">
        <v>968</v>
      </c>
      <c r="C232" s="166">
        <v>113</v>
      </c>
      <c r="D232" s="166" t="s">
        <v>274</v>
      </c>
      <c r="E232" s="166"/>
      <c r="F232" s="482"/>
      <c r="G232" s="482"/>
      <c r="H232" s="2598">
        <f>H233+H237</f>
        <v>0</v>
      </c>
      <c r="I232" s="2598">
        <f>I236</f>
        <v>0</v>
      </c>
      <c r="J232" s="2598">
        <f>J236</f>
        <v>0</v>
      </c>
      <c r="K232" s="2598">
        <f>K236</f>
        <v>0</v>
      </c>
      <c r="L232" s="2598">
        <f>L236</f>
        <v>0</v>
      </c>
      <c r="M232" s="1018"/>
      <c r="N232" s="1018"/>
    </row>
    <row r="233" spans="1:14" hidden="1" x14ac:dyDescent="0.2">
      <c r="A233" s="487" t="s">
        <v>469</v>
      </c>
      <c r="B233" s="156">
        <v>968</v>
      </c>
      <c r="C233" s="156">
        <v>113</v>
      </c>
      <c r="D233" s="156" t="s">
        <v>274</v>
      </c>
      <c r="E233" s="156">
        <v>500</v>
      </c>
      <c r="F233" s="479"/>
      <c r="G233" s="479"/>
      <c r="H233" s="2607">
        <f t="shared" ref="H233:L234" si="24">H234</f>
        <v>0</v>
      </c>
      <c r="I233" s="2608">
        <f t="shared" si="24"/>
        <v>0</v>
      </c>
      <c r="J233" s="2608">
        <f t="shared" si="24"/>
        <v>0</v>
      </c>
      <c r="K233" s="2607">
        <f t="shared" si="24"/>
        <v>0</v>
      </c>
      <c r="L233" s="2607">
        <f t="shared" si="24"/>
        <v>0</v>
      </c>
      <c r="M233" s="1018"/>
      <c r="N233" s="1018"/>
    </row>
    <row r="234" spans="1:14" hidden="1" x14ac:dyDescent="0.2">
      <c r="A234" s="465" t="s">
        <v>380</v>
      </c>
      <c r="B234" s="156">
        <v>968</v>
      </c>
      <c r="C234" s="156">
        <v>113</v>
      </c>
      <c r="D234" s="156" t="s">
        <v>274</v>
      </c>
      <c r="E234" s="156">
        <v>500</v>
      </c>
      <c r="F234" s="479"/>
      <c r="G234" s="479">
        <v>200</v>
      </c>
      <c r="H234" s="2607">
        <f t="shared" si="24"/>
        <v>0</v>
      </c>
      <c r="I234" s="2608">
        <f t="shared" si="24"/>
        <v>0</v>
      </c>
      <c r="J234" s="2608">
        <f t="shared" si="24"/>
        <v>0</v>
      </c>
      <c r="K234" s="2607">
        <f t="shared" si="24"/>
        <v>0</v>
      </c>
      <c r="L234" s="2607">
        <f t="shared" si="24"/>
        <v>0</v>
      </c>
      <c r="M234" s="1018"/>
      <c r="N234" s="1018"/>
    </row>
    <row r="235" spans="1:14" hidden="1" x14ac:dyDescent="0.2">
      <c r="A235" s="468" t="s">
        <v>383</v>
      </c>
      <c r="B235" s="475">
        <v>968</v>
      </c>
      <c r="C235" s="475">
        <v>113</v>
      </c>
      <c r="D235" s="475" t="s">
        <v>274</v>
      </c>
      <c r="E235" s="475">
        <v>500</v>
      </c>
      <c r="F235" s="481"/>
      <c r="G235" s="481">
        <v>226</v>
      </c>
      <c r="H235" s="2609">
        <f>SUM(I235:L235)</f>
        <v>0</v>
      </c>
      <c r="I235" s="2610">
        <v>0</v>
      </c>
      <c r="J235" s="2610">
        <v>0</v>
      </c>
      <c r="K235" s="2609">
        <f>137.5-137.5</f>
        <v>0</v>
      </c>
      <c r="L235" s="2609">
        <f>137.5-137.5</f>
        <v>0</v>
      </c>
      <c r="M235" s="1018"/>
      <c r="N235" s="1018"/>
    </row>
    <row r="236" spans="1:14" ht="24" hidden="1" x14ac:dyDescent="0.2">
      <c r="A236" s="2098" t="s">
        <v>1361</v>
      </c>
      <c r="B236" s="1285">
        <v>968</v>
      </c>
      <c r="C236" s="1285">
        <v>113</v>
      </c>
      <c r="D236" s="1285" t="s">
        <v>274</v>
      </c>
      <c r="E236" s="1285">
        <v>19</v>
      </c>
      <c r="F236" s="1279">
        <v>600</v>
      </c>
      <c r="G236" s="2099"/>
      <c r="H236" s="2600">
        <f>SUM(I236:L236)</f>
        <v>0</v>
      </c>
      <c r="I236" s="2601">
        <f t="shared" ref="I236:L238" si="25">I237</f>
        <v>0</v>
      </c>
      <c r="J236" s="2601">
        <f t="shared" si="25"/>
        <v>0</v>
      </c>
      <c r="K236" s="2601">
        <f t="shared" si="25"/>
        <v>0</v>
      </c>
      <c r="L236" s="2600">
        <f t="shared" si="25"/>
        <v>0</v>
      </c>
      <c r="M236" s="1018"/>
      <c r="N236" s="1018"/>
    </row>
    <row r="237" spans="1:14" hidden="1" x14ac:dyDescent="0.2">
      <c r="A237" s="1278" t="s">
        <v>1062</v>
      </c>
      <c r="B237" s="1285">
        <v>968</v>
      </c>
      <c r="C237" s="1285">
        <v>113</v>
      </c>
      <c r="D237" s="1285" t="s">
        <v>274</v>
      </c>
      <c r="E237" s="1285">
        <v>19</v>
      </c>
      <c r="F237" s="1279">
        <v>630</v>
      </c>
      <c r="G237" s="1279"/>
      <c r="H237" s="2602">
        <f>H238</f>
        <v>0</v>
      </c>
      <c r="I237" s="2602">
        <f t="shared" si="25"/>
        <v>0</v>
      </c>
      <c r="J237" s="2602">
        <f t="shared" si="25"/>
        <v>0</v>
      </c>
      <c r="K237" s="2602">
        <f t="shared" si="25"/>
        <v>0</v>
      </c>
      <c r="L237" s="2602">
        <f t="shared" si="25"/>
        <v>0</v>
      </c>
      <c r="M237" s="1018"/>
      <c r="N237" s="1018"/>
    </row>
    <row r="238" spans="1:14" hidden="1" x14ac:dyDescent="0.2">
      <c r="A238" s="465" t="s">
        <v>380</v>
      </c>
      <c r="B238" s="156">
        <v>968</v>
      </c>
      <c r="C238" s="156">
        <v>113</v>
      </c>
      <c r="D238" s="156" t="s">
        <v>274</v>
      </c>
      <c r="E238" s="156">
        <v>19</v>
      </c>
      <c r="F238" s="479">
        <v>630</v>
      </c>
      <c r="G238" s="479">
        <v>200</v>
      </c>
      <c r="H238" s="2609">
        <f t="shared" ref="H238:H244" si="26">SUM(I238:L238)</f>
        <v>0</v>
      </c>
      <c r="I238" s="2610">
        <f t="shared" si="25"/>
        <v>0</v>
      </c>
      <c r="J238" s="2610">
        <f t="shared" si="25"/>
        <v>0</v>
      </c>
      <c r="K238" s="2610">
        <f t="shared" si="25"/>
        <v>0</v>
      </c>
      <c r="L238" s="2609">
        <f t="shared" si="25"/>
        <v>0</v>
      </c>
      <c r="M238" s="1018"/>
      <c r="N238" s="1018"/>
    </row>
    <row r="239" spans="1:14" ht="24" hidden="1" customHeight="1" x14ac:dyDescent="0.2">
      <c r="A239" s="1767" t="s">
        <v>1063</v>
      </c>
      <c r="B239" s="475">
        <v>968</v>
      </c>
      <c r="C239" s="475">
        <v>113</v>
      </c>
      <c r="D239" s="475" t="s">
        <v>274</v>
      </c>
      <c r="E239" s="475">
        <v>19</v>
      </c>
      <c r="F239" s="481">
        <v>630</v>
      </c>
      <c r="G239" s="481">
        <v>242</v>
      </c>
      <c r="H239" s="2609">
        <f t="shared" si="26"/>
        <v>0</v>
      </c>
      <c r="I239" s="2610">
        <v>0</v>
      </c>
      <c r="J239" s="2610">
        <f>125+125-250</f>
        <v>0</v>
      </c>
      <c r="K239" s="2609">
        <v>0</v>
      </c>
      <c r="L239" s="2609">
        <v>0</v>
      </c>
      <c r="M239" s="1018"/>
      <c r="N239" s="1018"/>
    </row>
    <row r="240" spans="1:14" ht="27" customHeight="1" x14ac:dyDescent="0.2">
      <c r="A240" s="487" t="s">
        <v>1512</v>
      </c>
      <c r="B240" s="166">
        <v>968</v>
      </c>
      <c r="C240" s="166">
        <v>113</v>
      </c>
      <c r="D240" s="166" t="str">
        <f>D242</f>
        <v>092 02 00</v>
      </c>
      <c r="E240" s="166"/>
      <c r="F240" s="1277"/>
      <c r="G240" s="482"/>
      <c r="H240" s="832">
        <f t="shared" si="26"/>
        <v>400</v>
      </c>
      <c r="I240" s="959">
        <f t="shared" ref="I240:L241" si="27">I241</f>
        <v>0</v>
      </c>
      <c r="J240" s="959">
        <f t="shared" si="27"/>
        <v>120</v>
      </c>
      <c r="K240" s="959">
        <f t="shared" si="27"/>
        <v>180</v>
      </c>
      <c r="L240" s="832">
        <f t="shared" si="27"/>
        <v>100</v>
      </c>
      <c r="M240" s="1018"/>
      <c r="N240" s="1018"/>
    </row>
    <row r="241" spans="1:14" ht="14.25" customHeight="1" x14ac:dyDescent="0.2">
      <c r="A241" s="487" t="s">
        <v>1357</v>
      </c>
      <c r="B241" s="1285">
        <v>968</v>
      </c>
      <c r="C241" s="1285">
        <v>113</v>
      </c>
      <c r="D241" s="1285" t="str">
        <f>D242</f>
        <v>092 02 00</v>
      </c>
      <c r="E241" s="1285">
        <v>500</v>
      </c>
      <c r="F241" s="1279">
        <v>200</v>
      </c>
      <c r="G241" s="482"/>
      <c r="H241" s="832">
        <f>SUM(I241:L241)</f>
        <v>400</v>
      </c>
      <c r="I241" s="959">
        <f t="shared" si="27"/>
        <v>0</v>
      </c>
      <c r="J241" s="959">
        <f t="shared" si="27"/>
        <v>120</v>
      </c>
      <c r="K241" s="959">
        <f t="shared" si="27"/>
        <v>180</v>
      </c>
      <c r="L241" s="832">
        <f t="shared" si="27"/>
        <v>100</v>
      </c>
      <c r="M241" s="1018"/>
      <c r="N241" s="1018"/>
    </row>
    <row r="242" spans="1:14" ht="15" customHeight="1" x14ac:dyDescent="0.2">
      <c r="A242" s="1278" t="s">
        <v>1201</v>
      </c>
      <c r="B242" s="1285">
        <v>968</v>
      </c>
      <c r="C242" s="1285">
        <v>113</v>
      </c>
      <c r="D242" s="1285" t="str">
        <f>D243</f>
        <v>092 02 00</v>
      </c>
      <c r="E242" s="1285">
        <v>500</v>
      </c>
      <c r="F242" s="1279">
        <v>244</v>
      </c>
      <c r="G242" s="1279"/>
      <c r="H242" s="1286">
        <f t="shared" si="26"/>
        <v>400</v>
      </c>
      <c r="I242" s="1287">
        <f t="shared" ref="I242:L243" si="28">I243</f>
        <v>0</v>
      </c>
      <c r="J242" s="1287">
        <f>J243</f>
        <v>120</v>
      </c>
      <c r="K242" s="1286">
        <f>K243</f>
        <v>180</v>
      </c>
      <c r="L242" s="1286">
        <f t="shared" si="28"/>
        <v>100</v>
      </c>
      <c r="M242" s="1018"/>
      <c r="N242" s="1018"/>
    </row>
    <row r="243" spans="1:14" ht="16.5" customHeight="1" x14ac:dyDescent="0.2">
      <c r="A243" s="465" t="s">
        <v>380</v>
      </c>
      <c r="B243" s="156">
        <v>968</v>
      </c>
      <c r="C243" s="156">
        <v>113</v>
      </c>
      <c r="D243" s="156" t="str">
        <f>D244</f>
        <v>092 02 00</v>
      </c>
      <c r="E243" s="156">
        <v>500</v>
      </c>
      <c r="F243" s="479">
        <v>244</v>
      </c>
      <c r="G243" s="479">
        <v>200</v>
      </c>
      <c r="H243" s="1804">
        <f t="shared" si="26"/>
        <v>400</v>
      </c>
      <c r="I243" s="1805">
        <f t="shared" si="28"/>
        <v>0</v>
      </c>
      <c r="J243" s="1805">
        <f>J244</f>
        <v>120</v>
      </c>
      <c r="K243" s="1804">
        <f>K244</f>
        <v>180</v>
      </c>
      <c r="L243" s="1804">
        <f t="shared" si="28"/>
        <v>100</v>
      </c>
      <c r="M243" s="1018"/>
      <c r="N243" s="1018"/>
    </row>
    <row r="244" spans="1:14" ht="13.5" customHeight="1" x14ac:dyDescent="0.2">
      <c r="A244" s="468" t="s">
        <v>383</v>
      </c>
      <c r="B244" s="475">
        <v>968</v>
      </c>
      <c r="C244" s="475">
        <v>113</v>
      </c>
      <c r="D244" s="475" t="s">
        <v>636</v>
      </c>
      <c r="E244" s="475">
        <v>500</v>
      </c>
      <c r="F244" s="481">
        <v>244</v>
      </c>
      <c r="G244" s="481">
        <v>226</v>
      </c>
      <c r="H244" s="1802">
        <f t="shared" si="26"/>
        <v>400</v>
      </c>
      <c r="I244" s="1803">
        <f>100-100</f>
        <v>0</v>
      </c>
      <c r="J244" s="1803">
        <f>100+100-80</f>
        <v>120</v>
      </c>
      <c r="K244" s="1802">
        <f>100+80</f>
        <v>180</v>
      </c>
      <c r="L244" s="1802">
        <v>100</v>
      </c>
      <c r="M244" s="1018"/>
      <c r="N244" s="1018"/>
    </row>
    <row r="245" spans="1:14" ht="13.5" customHeight="1" x14ac:dyDescent="0.2">
      <c r="A245" s="487" t="s">
        <v>1138</v>
      </c>
      <c r="B245" s="166">
        <v>968</v>
      </c>
      <c r="C245" s="166">
        <v>113</v>
      </c>
      <c r="D245" s="166" t="str">
        <f>D247</f>
        <v>092 05 00</v>
      </c>
      <c r="E245" s="166"/>
      <c r="F245" s="482"/>
      <c r="G245" s="482"/>
      <c r="H245" s="832">
        <f>H247</f>
        <v>72</v>
      </c>
      <c r="I245" s="959">
        <f t="shared" ref="I245:L248" si="29">I246</f>
        <v>18</v>
      </c>
      <c r="J245" s="959">
        <f t="shared" si="29"/>
        <v>18</v>
      </c>
      <c r="K245" s="959">
        <f t="shared" si="29"/>
        <v>18</v>
      </c>
      <c r="L245" s="832">
        <f t="shared" si="29"/>
        <v>18</v>
      </c>
      <c r="M245" s="1018"/>
      <c r="N245" s="1018"/>
    </row>
    <row r="246" spans="1:14" ht="13.5" customHeight="1" x14ac:dyDescent="0.2">
      <c r="A246" s="487" t="s">
        <v>1360</v>
      </c>
      <c r="B246" s="1285">
        <v>968</v>
      </c>
      <c r="C246" s="1285">
        <v>113</v>
      </c>
      <c r="D246" s="1285" t="str">
        <f>D247</f>
        <v>092 05 00</v>
      </c>
      <c r="E246" s="1289">
        <v>13</v>
      </c>
      <c r="F246" s="1290">
        <v>800</v>
      </c>
      <c r="G246" s="482"/>
      <c r="H246" s="832">
        <f>SUM(I246:L246)</f>
        <v>72</v>
      </c>
      <c r="I246" s="959">
        <f t="shared" si="29"/>
        <v>18</v>
      </c>
      <c r="J246" s="959">
        <f t="shared" si="29"/>
        <v>18</v>
      </c>
      <c r="K246" s="959">
        <f t="shared" si="29"/>
        <v>18</v>
      </c>
      <c r="L246" s="832">
        <f t="shared" si="29"/>
        <v>18</v>
      </c>
      <c r="M246" s="1018"/>
      <c r="N246" s="1018"/>
    </row>
    <row r="247" spans="1:14" ht="13.5" customHeight="1" x14ac:dyDescent="0.2">
      <c r="A247" s="1278" t="s">
        <v>1461</v>
      </c>
      <c r="B247" s="1285">
        <v>968</v>
      </c>
      <c r="C247" s="1285">
        <v>113</v>
      </c>
      <c r="D247" s="1285" t="str">
        <f>D248</f>
        <v>092 05 00</v>
      </c>
      <c r="E247" s="1289">
        <v>13</v>
      </c>
      <c r="F247" s="1290">
        <v>853</v>
      </c>
      <c r="G247" s="1279"/>
      <c r="H247" s="1286">
        <f>H248</f>
        <v>72</v>
      </c>
      <c r="I247" s="1287">
        <f t="shared" si="29"/>
        <v>18</v>
      </c>
      <c r="J247" s="1287">
        <f t="shared" si="29"/>
        <v>18</v>
      </c>
      <c r="K247" s="1286">
        <f t="shared" si="29"/>
        <v>18</v>
      </c>
      <c r="L247" s="1286">
        <f t="shared" si="29"/>
        <v>18</v>
      </c>
      <c r="M247" s="1018"/>
      <c r="N247" s="1018"/>
    </row>
    <row r="248" spans="1:14" ht="13.5" customHeight="1" x14ac:dyDescent="0.2">
      <c r="A248" s="465" t="s">
        <v>380</v>
      </c>
      <c r="B248" s="156">
        <v>968</v>
      </c>
      <c r="C248" s="156">
        <v>113</v>
      </c>
      <c r="D248" s="156" t="str">
        <f>D249</f>
        <v>092 05 00</v>
      </c>
      <c r="E248" s="962">
        <v>13</v>
      </c>
      <c r="F248" s="1272">
        <v>853</v>
      </c>
      <c r="G248" s="479">
        <v>200</v>
      </c>
      <c r="H248" s="1804">
        <f>H249</f>
        <v>72</v>
      </c>
      <c r="I248" s="1805">
        <f t="shared" si="29"/>
        <v>18</v>
      </c>
      <c r="J248" s="1805">
        <f t="shared" si="29"/>
        <v>18</v>
      </c>
      <c r="K248" s="1804">
        <f t="shared" si="29"/>
        <v>18</v>
      </c>
      <c r="L248" s="1804">
        <f t="shared" si="29"/>
        <v>18</v>
      </c>
      <c r="M248" s="1018"/>
      <c r="N248" s="1018"/>
    </row>
    <row r="249" spans="1:14" ht="13.5" customHeight="1" x14ac:dyDescent="0.2">
      <c r="A249" s="467" t="s">
        <v>278</v>
      </c>
      <c r="B249" s="474">
        <v>968</v>
      </c>
      <c r="C249" s="474">
        <v>113</v>
      </c>
      <c r="D249" s="156" t="s">
        <v>524</v>
      </c>
      <c r="E249" s="963">
        <v>13</v>
      </c>
      <c r="F249" s="1273">
        <v>853</v>
      </c>
      <c r="G249" s="480">
        <v>290</v>
      </c>
      <c r="H249" s="2657">
        <f>SUM(I249:L249)</f>
        <v>72</v>
      </c>
      <c r="I249" s="2656">
        <v>18</v>
      </c>
      <c r="J249" s="2656">
        <v>18</v>
      </c>
      <c r="K249" s="2657">
        <v>18</v>
      </c>
      <c r="L249" s="2657">
        <v>18</v>
      </c>
      <c r="M249" s="1018"/>
      <c r="N249" s="1018"/>
    </row>
    <row r="250" spans="1:14" ht="48" customHeight="1" x14ac:dyDescent="0.2">
      <c r="A250" s="487" t="s">
        <v>1139</v>
      </c>
      <c r="B250" s="166">
        <v>968</v>
      </c>
      <c r="C250" s="166">
        <v>113</v>
      </c>
      <c r="D250" s="166" t="str">
        <f>D252</f>
        <v>092 06 00</v>
      </c>
      <c r="E250" s="166"/>
      <c r="F250" s="482"/>
      <c r="G250" s="482"/>
      <c r="H250" s="832">
        <f>H252</f>
        <v>333.91999999999996</v>
      </c>
      <c r="I250" s="959">
        <f t="shared" ref="I250:L253" si="30">I251</f>
        <v>0</v>
      </c>
      <c r="J250" s="959">
        <f t="shared" si="30"/>
        <v>98.999999999999986</v>
      </c>
      <c r="K250" s="959">
        <f t="shared" si="30"/>
        <v>101.44</v>
      </c>
      <c r="L250" s="832">
        <f t="shared" si="30"/>
        <v>133.47999999999999</v>
      </c>
      <c r="M250" s="1018"/>
      <c r="N250" s="1018"/>
    </row>
    <row r="251" spans="1:14" ht="15" customHeight="1" x14ac:dyDescent="0.2">
      <c r="A251" s="487" t="s">
        <v>1357</v>
      </c>
      <c r="B251" s="1285">
        <v>968</v>
      </c>
      <c r="C251" s="1285">
        <v>113</v>
      </c>
      <c r="D251" s="1285" t="str">
        <f>D252</f>
        <v>092 06 00</v>
      </c>
      <c r="E251" s="1285">
        <v>500</v>
      </c>
      <c r="F251" s="1279">
        <v>200</v>
      </c>
      <c r="G251" s="482"/>
      <c r="H251" s="832">
        <f>SUM(I251:L251)</f>
        <v>333.91999999999996</v>
      </c>
      <c r="I251" s="959">
        <f t="shared" si="30"/>
        <v>0</v>
      </c>
      <c r="J251" s="959">
        <f t="shared" si="30"/>
        <v>98.999999999999986</v>
      </c>
      <c r="K251" s="959">
        <f t="shared" si="30"/>
        <v>101.44</v>
      </c>
      <c r="L251" s="832">
        <f t="shared" si="30"/>
        <v>133.47999999999999</v>
      </c>
      <c r="M251" s="1018"/>
      <c r="N251" s="1018"/>
    </row>
    <row r="252" spans="1:14" ht="12.75" customHeight="1" x14ac:dyDescent="0.2">
      <c r="A252" s="1278" t="s">
        <v>1201</v>
      </c>
      <c r="B252" s="1285">
        <v>968</v>
      </c>
      <c r="C252" s="1285">
        <v>113</v>
      </c>
      <c r="D252" s="1285" t="str">
        <f>D253</f>
        <v>092 06 00</v>
      </c>
      <c r="E252" s="1285">
        <v>500</v>
      </c>
      <c r="F252" s="1279">
        <v>244</v>
      </c>
      <c r="G252" s="1279"/>
      <c r="H252" s="1286">
        <f>H253</f>
        <v>333.91999999999996</v>
      </c>
      <c r="I252" s="1287">
        <f t="shared" si="30"/>
        <v>0</v>
      </c>
      <c r="J252" s="1287">
        <f t="shared" si="30"/>
        <v>98.999999999999986</v>
      </c>
      <c r="K252" s="1286">
        <f t="shared" si="30"/>
        <v>101.44</v>
      </c>
      <c r="L252" s="1286">
        <f t="shared" si="30"/>
        <v>133.47999999999999</v>
      </c>
      <c r="M252" s="1018"/>
      <c r="N252" s="1018"/>
    </row>
    <row r="253" spans="1:14" ht="12.75" customHeight="1" x14ac:dyDescent="0.2">
      <c r="A253" s="465" t="s">
        <v>380</v>
      </c>
      <c r="B253" s="156">
        <v>968</v>
      </c>
      <c r="C253" s="156">
        <v>113</v>
      </c>
      <c r="D253" s="156" t="str">
        <f>D254</f>
        <v>092 06 00</v>
      </c>
      <c r="E253" s="156">
        <v>500</v>
      </c>
      <c r="F253" s="479">
        <v>244</v>
      </c>
      <c r="G253" s="479">
        <v>200</v>
      </c>
      <c r="H253" s="1804">
        <f>H254</f>
        <v>333.91999999999996</v>
      </c>
      <c r="I253" s="1805">
        <f t="shared" si="30"/>
        <v>0</v>
      </c>
      <c r="J253" s="1805">
        <f t="shared" si="30"/>
        <v>98.999999999999986</v>
      </c>
      <c r="K253" s="1804">
        <f t="shared" si="30"/>
        <v>101.44</v>
      </c>
      <c r="L253" s="1804">
        <f t="shared" si="30"/>
        <v>133.47999999999999</v>
      </c>
      <c r="M253" s="1018"/>
      <c r="N253" s="1018"/>
    </row>
    <row r="254" spans="1:14" ht="15.75" customHeight="1" x14ac:dyDescent="0.2">
      <c r="A254" s="739" t="s">
        <v>383</v>
      </c>
      <c r="B254" s="740">
        <v>968</v>
      </c>
      <c r="C254" s="740">
        <v>113</v>
      </c>
      <c r="D254" s="740" t="s">
        <v>1140</v>
      </c>
      <c r="E254" s="740">
        <v>500</v>
      </c>
      <c r="F254" s="741">
        <v>244</v>
      </c>
      <c r="G254" s="741">
        <v>226</v>
      </c>
      <c r="H254" s="2587">
        <f>SUM(I254:L254)</f>
        <v>333.91999999999996</v>
      </c>
      <c r="I254" s="2588">
        <f>33.48-33.48</f>
        <v>0</v>
      </c>
      <c r="J254" s="2588">
        <f>133.48+33.48-67.96</f>
        <v>98.999999999999986</v>
      </c>
      <c r="K254" s="2588">
        <f>33.48+67.96</f>
        <v>101.44</v>
      </c>
      <c r="L254" s="2587">
        <v>133.47999999999999</v>
      </c>
      <c r="M254" s="1018"/>
      <c r="N254" s="1018"/>
    </row>
    <row r="255" spans="1:14" ht="15.75" hidden="1" customHeight="1" x14ac:dyDescent="0.2">
      <c r="A255" s="487" t="s">
        <v>1214</v>
      </c>
      <c r="B255" s="166">
        <v>968</v>
      </c>
      <c r="C255" s="166">
        <v>113</v>
      </c>
      <c r="D255" s="166" t="s">
        <v>1213</v>
      </c>
      <c r="E255" s="166"/>
      <c r="F255" s="482"/>
      <c r="G255" s="482"/>
      <c r="H255" s="832">
        <f>H257</f>
        <v>0</v>
      </c>
      <c r="I255" s="959">
        <f t="shared" ref="I255:L258" si="31">I256</f>
        <v>0</v>
      </c>
      <c r="J255" s="959">
        <f t="shared" si="31"/>
        <v>0</v>
      </c>
      <c r="K255" s="959">
        <f t="shared" si="31"/>
        <v>0</v>
      </c>
      <c r="L255" s="832">
        <f t="shared" si="31"/>
        <v>0</v>
      </c>
      <c r="M255" s="1018"/>
      <c r="N255" s="1018"/>
    </row>
    <row r="256" spans="1:14" ht="15.75" hidden="1" customHeight="1" x14ac:dyDescent="0.2">
      <c r="A256" s="487" t="s">
        <v>1357</v>
      </c>
      <c r="B256" s="1285">
        <v>968</v>
      </c>
      <c r="C256" s="1285">
        <v>113</v>
      </c>
      <c r="D256" s="1285" t="s">
        <v>1213</v>
      </c>
      <c r="E256" s="1285">
        <v>500</v>
      </c>
      <c r="F256" s="1279">
        <v>200</v>
      </c>
      <c r="G256" s="482"/>
      <c r="H256" s="832">
        <f>SUM(I256:L256)</f>
        <v>0</v>
      </c>
      <c r="I256" s="959">
        <f t="shared" si="31"/>
        <v>0</v>
      </c>
      <c r="J256" s="959">
        <f t="shared" si="31"/>
        <v>0</v>
      </c>
      <c r="K256" s="959">
        <f t="shared" si="31"/>
        <v>0</v>
      </c>
      <c r="L256" s="832">
        <f t="shared" si="31"/>
        <v>0</v>
      </c>
      <c r="M256" s="1018"/>
      <c r="N256" s="1018"/>
    </row>
    <row r="257" spans="1:14" ht="27" hidden="1" customHeight="1" x14ac:dyDescent="0.2">
      <c r="A257" s="1278" t="s">
        <v>1218</v>
      </c>
      <c r="B257" s="1285">
        <v>968</v>
      </c>
      <c r="C257" s="1285">
        <v>113</v>
      </c>
      <c r="D257" s="1285" t="s">
        <v>1213</v>
      </c>
      <c r="E257" s="1285">
        <v>500</v>
      </c>
      <c r="F257" s="1279">
        <v>242</v>
      </c>
      <c r="G257" s="1279"/>
      <c r="H257" s="1286">
        <f>H258</f>
        <v>0</v>
      </c>
      <c r="I257" s="1287">
        <f t="shared" si="31"/>
        <v>0</v>
      </c>
      <c r="J257" s="1287">
        <f t="shared" si="31"/>
        <v>0</v>
      </c>
      <c r="K257" s="1286">
        <f t="shared" si="31"/>
        <v>0</v>
      </c>
      <c r="L257" s="1286">
        <f t="shared" si="31"/>
        <v>0</v>
      </c>
      <c r="M257" s="1018"/>
      <c r="N257" s="1018"/>
    </row>
    <row r="258" spans="1:14" ht="15.75" hidden="1" customHeight="1" x14ac:dyDescent="0.2">
      <c r="A258" s="465" t="s">
        <v>380</v>
      </c>
      <c r="B258" s="156">
        <v>968</v>
      </c>
      <c r="C258" s="156">
        <v>113</v>
      </c>
      <c r="D258" s="156" t="s">
        <v>1213</v>
      </c>
      <c r="E258" s="156">
        <v>500</v>
      </c>
      <c r="F258" s="479">
        <v>242</v>
      </c>
      <c r="G258" s="479">
        <v>200</v>
      </c>
      <c r="H258" s="1804">
        <f>H259</f>
        <v>0</v>
      </c>
      <c r="I258" s="1805">
        <f t="shared" si="31"/>
        <v>0</v>
      </c>
      <c r="J258" s="1805">
        <f t="shared" si="31"/>
        <v>0</v>
      </c>
      <c r="K258" s="1804">
        <f t="shared" si="31"/>
        <v>0</v>
      </c>
      <c r="L258" s="1804">
        <f t="shared" si="31"/>
        <v>0</v>
      </c>
      <c r="M258" s="1018"/>
      <c r="N258" s="1018"/>
    </row>
    <row r="259" spans="1:14" ht="15.75" hidden="1" customHeight="1" x14ac:dyDescent="0.2">
      <c r="A259" s="739" t="s">
        <v>383</v>
      </c>
      <c r="B259" s="740">
        <v>968</v>
      </c>
      <c r="C259" s="740">
        <v>113</v>
      </c>
      <c r="D259" s="740" t="s">
        <v>1213</v>
      </c>
      <c r="E259" s="740">
        <v>500</v>
      </c>
      <c r="F259" s="741">
        <v>242</v>
      </c>
      <c r="G259" s="741">
        <v>226</v>
      </c>
      <c r="H259" s="2587">
        <f>SUM(I259:L259)</f>
        <v>0</v>
      </c>
      <c r="I259" s="2588">
        <f>65.85-20.85-45</f>
        <v>0</v>
      </c>
      <c r="J259" s="2588">
        <f>65.85-20.85-45</f>
        <v>0</v>
      </c>
      <c r="K259" s="2588">
        <f>65.85-20.85-45</f>
        <v>0</v>
      </c>
      <c r="L259" s="2587">
        <f>65.85-20.85-45</f>
        <v>0</v>
      </c>
      <c r="M259" s="1018"/>
      <c r="N259" s="1018"/>
    </row>
    <row r="260" spans="1:14" ht="15.75" hidden="1" customHeight="1" x14ac:dyDescent="0.2">
      <c r="A260" s="467" t="s">
        <v>278</v>
      </c>
      <c r="B260" s="740">
        <v>968</v>
      </c>
      <c r="C260" s="740">
        <v>113</v>
      </c>
      <c r="D260" s="740" t="s">
        <v>1219</v>
      </c>
      <c r="E260" s="740">
        <v>500</v>
      </c>
      <c r="F260" s="741">
        <v>244</v>
      </c>
      <c r="G260" s="741">
        <v>290</v>
      </c>
      <c r="H260" s="2611">
        <f>SUM(I260:L260)</f>
        <v>0</v>
      </c>
      <c r="I260" s="2612">
        <v>0</v>
      </c>
      <c r="J260" s="2612">
        <f>600-600</f>
        <v>0</v>
      </c>
      <c r="K260" s="2612">
        <v>0</v>
      </c>
      <c r="L260" s="2611">
        <v>0</v>
      </c>
      <c r="M260" s="1018"/>
      <c r="N260" s="1018"/>
    </row>
    <row r="261" spans="1:14" ht="15.75" customHeight="1" x14ac:dyDescent="0.2">
      <c r="A261" s="487" t="s">
        <v>1466</v>
      </c>
      <c r="B261" s="166">
        <v>968</v>
      </c>
      <c r="C261" s="166">
        <v>113</v>
      </c>
      <c r="D261" s="166" t="s">
        <v>1467</v>
      </c>
      <c r="E261" s="166"/>
      <c r="F261" s="482"/>
      <c r="G261" s="482"/>
      <c r="H261" s="832">
        <f>H263</f>
        <v>133.91999999999999</v>
      </c>
      <c r="I261" s="959">
        <f t="shared" ref="I261:L263" si="32">I262</f>
        <v>0</v>
      </c>
      <c r="J261" s="959">
        <f t="shared" si="32"/>
        <v>0</v>
      </c>
      <c r="K261" s="959">
        <f t="shared" si="32"/>
        <v>100.44</v>
      </c>
      <c r="L261" s="832">
        <f t="shared" si="32"/>
        <v>33.479999999999997</v>
      </c>
      <c r="M261" s="1018"/>
      <c r="N261" s="1018"/>
    </row>
    <row r="262" spans="1:14" ht="15.75" customHeight="1" x14ac:dyDescent="0.2">
      <c r="A262" s="487" t="s">
        <v>1357</v>
      </c>
      <c r="B262" s="1285">
        <v>968</v>
      </c>
      <c r="C262" s="1285">
        <v>113</v>
      </c>
      <c r="D262" s="1285" t="s">
        <v>1467</v>
      </c>
      <c r="E262" s="1285">
        <v>500</v>
      </c>
      <c r="F262" s="1279">
        <v>200</v>
      </c>
      <c r="G262" s="482"/>
      <c r="H262" s="832">
        <f>SUM(I262:L262)</f>
        <v>133.91999999999999</v>
      </c>
      <c r="I262" s="959">
        <f t="shared" si="32"/>
        <v>0</v>
      </c>
      <c r="J262" s="959">
        <f t="shared" si="32"/>
        <v>0</v>
      </c>
      <c r="K262" s="959">
        <f t="shared" si="32"/>
        <v>100.44</v>
      </c>
      <c r="L262" s="832">
        <f t="shared" si="32"/>
        <v>33.479999999999997</v>
      </c>
      <c r="M262" s="1018"/>
      <c r="N262" s="1018"/>
    </row>
    <row r="263" spans="1:14" ht="15.75" customHeight="1" x14ac:dyDescent="0.2">
      <c r="A263" s="1278" t="s">
        <v>1201</v>
      </c>
      <c r="B263" s="1285">
        <v>968</v>
      </c>
      <c r="C263" s="1285">
        <v>113</v>
      </c>
      <c r="D263" s="1285" t="s">
        <v>1467</v>
      </c>
      <c r="E263" s="1285">
        <v>500</v>
      </c>
      <c r="F263" s="1279">
        <v>244</v>
      </c>
      <c r="G263" s="1279"/>
      <c r="H263" s="1286">
        <f>H264</f>
        <v>133.91999999999999</v>
      </c>
      <c r="I263" s="1287">
        <f t="shared" si="32"/>
        <v>0</v>
      </c>
      <c r="J263" s="1287">
        <f t="shared" si="32"/>
        <v>0</v>
      </c>
      <c r="K263" s="1286">
        <f t="shared" si="32"/>
        <v>100.44</v>
      </c>
      <c r="L263" s="1286">
        <f t="shared" si="32"/>
        <v>33.479999999999997</v>
      </c>
      <c r="M263" s="1018"/>
      <c r="N263" s="1018"/>
    </row>
    <row r="264" spans="1:14" ht="15.75" customHeight="1" x14ac:dyDescent="0.2">
      <c r="A264" s="465" t="s">
        <v>380</v>
      </c>
      <c r="B264" s="156">
        <v>968</v>
      </c>
      <c r="C264" s="156">
        <v>113</v>
      </c>
      <c r="D264" s="156" t="s">
        <v>1467</v>
      </c>
      <c r="E264" s="156">
        <v>500</v>
      </c>
      <c r="F264" s="479">
        <v>244</v>
      </c>
      <c r="G264" s="479">
        <v>200</v>
      </c>
      <c r="H264" s="1804">
        <f>SUM(I264:L264)</f>
        <v>133.91999999999999</v>
      </c>
      <c r="I264" s="1805">
        <f>SUM(I265:I265)</f>
        <v>0</v>
      </c>
      <c r="J264" s="1805">
        <f>SUM(J265:J265)</f>
        <v>0</v>
      </c>
      <c r="K264" s="1805">
        <f>SUM(K265:K265)</f>
        <v>100.44</v>
      </c>
      <c r="L264" s="1805">
        <f>SUM(L265:L265)</f>
        <v>33.479999999999997</v>
      </c>
      <c r="M264" s="1018"/>
      <c r="N264" s="1018"/>
    </row>
    <row r="265" spans="1:14" ht="15.75" customHeight="1" x14ac:dyDescent="0.2">
      <c r="A265" s="739" t="s">
        <v>383</v>
      </c>
      <c r="B265" s="740">
        <v>968</v>
      </c>
      <c r="C265" s="740">
        <v>113</v>
      </c>
      <c r="D265" s="740" t="s">
        <v>1467</v>
      </c>
      <c r="E265" s="740">
        <v>500</v>
      </c>
      <c r="F265" s="741">
        <v>244</v>
      </c>
      <c r="G265" s="741">
        <v>226</v>
      </c>
      <c r="H265" s="2587">
        <f>SUM(I265:L265)</f>
        <v>133.91999999999999</v>
      </c>
      <c r="I265" s="2588">
        <f>33.48-33.48</f>
        <v>0</v>
      </c>
      <c r="J265" s="2588">
        <f>33.48+33.48-66.96</f>
        <v>0</v>
      </c>
      <c r="K265" s="2588">
        <f>33.48+66.96</f>
        <v>100.44</v>
      </c>
      <c r="L265" s="2587">
        <v>33.479999999999997</v>
      </c>
      <c r="M265" s="1018"/>
      <c r="N265" s="1018"/>
    </row>
    <row r="266" spans="1:14" ht="24.75" customHeight="1" x14ac:dyDescent="0.2">
      <c r="A266" s="487" t="s">
        <v>1595</v>
      </c>
      <c r="B266" s="166">
        <v>968</v>
      </c>
      <c r="C266" s="166">
        <v>113</v>
      </c>
      <c r="D266" s="166" t="str">
        <f>D268</f>
        <v>795 02 00</v>
      </c>
      <c r="E266" s="742"/>
      <c r="F266" s="1274"/>
      <c r="G266" s="491"/>
      <c r="H266" s="832">
        <f>H268</f>
        <v>90</v>
      </c>
      <c r="I266" s="959">
        <f t="shared" ref="I266:L268" si="33">I267</f>
        <v>10.99</v>
      </c>
      <c r="J266" s="959">
        <f t="shared" si="33"/>
        <v>40.99</v>
      </c>
      <c r="K266" s="959">
        <f t="shared" si="33"/>
        <v>15</v>
      </c>
      <c r="L266" s="832">
        <f t="shared" si="33"/>
        <v>23.019999999999996</v>
      </c>
      <c r="M266" s="1018"/>
      <c r="N266" s="1018"/>
    </row>
    <row r="267" spans="1:14" ht="15" customHeight="1" x14ac:dyDescent="0.2">
      <c r="A267" s="487" t="s">
        <v>1357</v>
      </c>
      <c r="B267" s="1820">
        <v>968</v>
      </c>
      <c r="C267" s="1820">
        <v>113</v>
      </c>
      <c r="D267" s="1820" t="str">
        <f>D268</f>
        <v>795 02 00</v>
      </c>
      <c r="E267" s="1820">
        <v>500</v>
      </c>
      <c r="F267" s="1821">
        <v>200</v>
      </c>
      <c r="G267" s="491"/>
      <c r="H267" s="832">
        <f>SUM(I267:L267)</f>
        <v>90</v>
      </c>
      <c r="I267" s="959">
        <f t="shared" si="33"/>
        <v>10.99</v>
      </c>
      <c r="J267" s="959">
        <f t="shared" si="33"/>
        <v>40.99</v>
      </c>
      <c r="K267" s="959">
        <f t="shared" si="33"/>
        <v>15</v>
      </c>
      <c r="L267" s="832">
        <f t="shared" si="33"/>
        <v>23.019999999999996</v>
      </c>
      <c r="M267" s="1018"/>
      <c r="N267" s="1018"/>
    </row>
    <row r="268" spans="1:14" ht="15.75" customHeight="1" x14ac:dyDescent="0.2">
      <c r="A268" s="2103" t="s">
        <v>1201</v>
      </c>
      <c r="B268" s="1820">
        <v>968</v>
      </c>
      <c r="C268" s="1820">
        <v>113</v>
      </c>
      <c r="D268" s="1820" t="str">
        <f>D269</f>
        <v>795 02 00</v>
      </c>
      <c r="E268" s="1820">
        <v>500</v>
      </c>
      <c r="F268" s="1821">
        <v>244</v>
      </c>
      <c r="G268" s="1821"/>
      <c r="H268" s="1286">
        <f>H269</f>
        <v>90</v>
      </c>
      <c r="I268" s="1287">
        <f t="shared" si="33"/>
        <v>10.99</v>
      </c>
      <c r="J268" s="1287">
        <f t="shared" si="33"/>
        <v>40.99</v>
      </c>
      <c r="K268" s="1286">
        <f t="shared" si="33"/>
        <v>15</v>
      </c>
      <c r="L268" s="1286">
        <f t="shared" si="33"/>
        <v>23.019999999999996</v>
      </c>
      <c r="M268" s="1018"/>
      <c r="N268" s="1018"/>
    </row>
    <row r="269" spans="1:14" ht="15.75" customHeight="1" x14ac:dyDescent="0.2">
      <c r="A269" s="2592" t="s">
        <v>380</v>
      </c>
      <c r="B269" s="2593">
        <v>968</v>
      </c>
      <c r="C269" s="2593">
        <v>113</v>
      </c>
      <c r="D269" s="2593" t="str">
        <f>D270</f>
        <v>795 02 00</v>
      </c>
      <c r="E269" s="2593">
        <v>500</v>
      </c>
      <c r="F269" s="755">
        <v>244</v>
      </c>
      <c r="G269" s="755">
        <v>200</v>
      </c>
      <c r="H269" s="1804">
        <f t="shared" ref="H269:H280" si="34">SUM(I269:L269)</f>
        <v>90</v>
      </c>
      <c r="I269" s="1804">
        <f>SUM(I271:I272)</f>
        <v>10.99</v>
      </c>
      <c r="J269" s="1804">
        <f>SUM(J271:J272)</f>
        <v>40.99</v>
      </c>
      <c r="K269" s="1804">
        <f>SUM(K271:K272)</f>
        <v>15</v>
      </c>
      <c r="L269" s="1804">
        <f>SUM(L271:L272)</f>
        <v>23.019999999999996</v>
      </c>
      <c r="M269" s="1018"/>
      <c r="N269" s="1018"/>
    </row>
    <row r="270" spans="1:14" ht="15.75" hidden="1" customHeight="1" x14ac:dyDescent="0.2">
      <c r="A270" s="468" t="s">
        <v>131</v>
      </c>
      <c r="B270" s="475">
        <v>968</v>
      </c>
      <c r="C270" s="475">
        <v>113</v>
      </c>
      <c r="D270" s="475" t="str">
        <f>D271</f>
        <v>795 02 00</v>
      </c>
      <c r="E270" s="475">
        <v>500</v>
      </c>
      <c r="F270" s="481">
        <v>244</v>
      </c>
      <c r="G270" s="481">
        <v>222</v>
      </c>
      <c r="H270" s="1804">
        <f t="shared" si="34"/>
        <v>0</v>
      </c>
      <c r="I270" s="1805">
        <v>0</v>
      </c>
      <c r="J270" s="1805">
        <f>40-40</f>
        <v>0</v>
      </c>
      <c r="K270" s="1804">
        <v>0</v>
      </c>
      <c r="L270" s="1804">
        <v>0</v>
      </c>
      <c r="M270" s="1018"/>
      <c r="N270" s="1018"/>
    </row>
    <row r="271" spans="1:14" ht="15.75" customHeight="1" x14ac:dyDescent="0.2">
      <c r="A271" s="468" t="s">
        <v>383</v>
      </c>
      <c r="B271" s="475">
        <v>968</v>
      </c>
      <c r="C271" s="475">
        <v>113</v>
      </c>
      <c r="D271" s="475" t="s">
        <v>1143</v>
      </c>
      <c r="E271" s="475">
        <v>500</v>
      </c>
      <c r="F271" s="481">
        <v>244</v>
      </c>
      <c r="G271" s="481">
        <v>226</v>
      </c>
      <c r="H271" s="1802">
        <f t="shared" si="34"/>
        <v>60</v>
      </c>
      <c r="I271" s="1803">
        <f>15-4.01</f>
        <v>10.99</v>
      </c>
      <c r="J271" s="1803">
        <f>15-4.01</f>
        <v>10.99</v>
      </c>
      <c r="K271" s="1802">
        <v>15</v>
      </c>
      <c r="L271" s="1802">
        <f>15+4.01+4.01</f>
        <v>23.019999999999996</v>
      </c>
      <c r="M271" s="1018"/>
      <c r="N271" s="1018"/>
    </row>
    <row r="272" spans="1:14" ht="15.75" customHeight="1" x14ac:dyDescent="0.2">
      <c r="A272" s="467" t="s">
        <v>278</v>
      </c>
      <c r="B272" s="475">
        <v>968</v>
      </c>
      <c r="C272" s="475">
        <v>113</v>
      </c>
      <c r="D272" s="475" t="s">
        <v>1143</v>
      </c>
      <c r="E272" s="475">
        <v>500</v>
      </c>
      <c r="F272" s="481">
        <v>244</v>
      </c>
      <c r="G272" s="1781">
        <v>290</v>
      </c>
      <c r="H272" s="2646">
        <f t="shared" si="34"/>
        <v>30</v>
      </c>
      <c r="I272" s="2647">
        <f>30-30</f>
        <v>0</v>
      </c>
      <c r="J272" s="2647">
        <f>30</f>
        <v>30</v>
      </c>
      <c r="K272" s="2646">
        <v>0</v>
      </c>
      <c r="L272" s="2646">
        <f>30-30</f>
        <v>0</v>
      </c>
      <c r="M272" s="1018"/>
      <c r="N272" s="1018"/>
    </row>
    <row r="273" spans="1:14" ht="54.75" customHeight="1" x14ac:dyDescent="0.2">
      <c r="A273" s="487" t="s">
        <v>1585</v>
      </c>
      <c r="B273" s="166">
        <v>968</v>
      </c>
      <c r="C273" s="166">
        <v>113</v>
      </c>
      <c r="D273" s="166" t="s">
        <v>1473</v>
      </c>
      <c r="E273" s="742"/>
      <c r="F273" s="1274"/>
      <c r="G273" s="491"/>
      <c r="H273" s="832">
        <f>H275</f>
        <v>136.5</v>
      </c>
      <c r="I273" s="959">
        <f t="shared" ref="I273:L275" si="35">I274</f>
        <v>10.989999999999995</v>
      </c>
      <c r="J273" s="959">
        <f t="shared" si="35"/>
        <v>64</v>
      </c>
      <c r="K273" s="959">
        <f t="shared" si="35"/>
        <v>42.5</v>
      </c>
      <c r="L273" s="832">
        <f t="shared" si="35"/>
        <v>19.009999999999998</v>
      </c>
      <c r="M273" s="1018"/>
      <c r="N273" s="1018"/>
    </row>
    <row r="274" spans="1:14" ht="15.75" customHeight="1" x14ac:dyDescent="0.2">
      <c r="A274" s="487" t="s">
        <v>1357</v>
      </c>
      <c r="B274" s="1820">
        <v>968</v>
      </c>
      <c r="C274" s="1820">
        <v>113</v>
      </c>
      <c r="D274" s="1820" t="s">
        <v>1473</v>
      </c>
      <c r="E274" s="1820">
        <v>500</v>
      </c>
      <c r="F274" s="1821">
        <v>200</v>
      </c>
      <c r="G274" s="491"/>
      <c r="H274" s="832">
        <f>SUM(I274:L274)</f>
        <v>136.5</v>
      </c>
      <c r="I274" s="959">
        <f t="shared" si="35"/>
        <v>10.989999999999995</v>
      </c>
      <c r="J274" s="959">
        <f t="shared" si="35"/>
        <v>64</v>
      </c>
      <c r="K274" s="959">
        <f t="shared" si="35"/>
        <v>42.5</v>
      </c>
      <c r="L274" s="832">
        <f t="shared" si="35"/>
        <v>19.009999999999998</v>
      </c>
      <c r="M274" s="1018"/>
      <c r="N274" s="1018"/>
    </row>
    <row r="275" spans="1:14" ht="15.75" customHeight="1" x14ac:dyDescent="0.2">
      <c r="A275" s="2103" t="s">
        <v>1201</v>
      </c>
      <c r="B275" s="1820">
        <v>968</v>
      </c>
      <c r="C275" s="1820">
        <v>113</v>
      </c>
      <c r="D275" s="1820" t="s">
        <v>1473</v>
      </c>
      <c r="E275" s="1820">
        <v>500</v>
      </c>
      <c r="F275" s="1821">
        <v>244</v>
      </c>
      <c r="G275" s="1821"/>
      <c r="H275" s="1286">
        <f>H276</f>
        <v>136.5</v>
      </c>
      <c r="I275" s="1287">
        <f t="shared" si="35"/>
        <v>10.989999999999995</v>
      </c>
      <c r="J275" s="1287">
        <f t="shared" si="35"/>
        <v>64</v>
      </c>
      <c r="K275" s="1286">
        <f t="shared" si="35"/>
        <v>42.5</v>
      </c>
      <c r="L275" s="1286">
        <f t="shared" si="35"/>
        <v>19.009999999999998</v>
      </c>
      <c r="M275" s="1018"/>
      <c r="N275" s="1018"/>
    </row>
    <row r="276" spans="1:14" ht="15.75" customHeight="1" x14ac:dyDescent="0.2">
      <c r="A276" s="2592" t="s">
        <v>380</v>
      </c>
      <c r="B276" s="2593">
        <v>968</v>
      </c>
      <c r="C276" s="2593">
        <v>113</v>
      </c>
      <c r="D276" s="2593" t="s">
        <v>1473</v>
      </c>
      <c r="E276" s="2593">
        <v>500</v>
      </c>
      <c r="F276" s="755">
        <v>244</v>
      </c>
      <c r="G276" s="755">
        <v>200</v>
      </c>
      <c r="H276" s="1804">
        <f>SUM(I276:L276)</f>
        <v>136.5</v>
      </c>
      <c r="I276" s="1804">
        <f>SUM(I277:I278)</f>
        <v>10.989999999999995</v>
      </c>
      <c r="J276" s="1804">
        <f>SUM(J277:J278)</f>
        <v>64</v>
      </c>
      <c r="K276" s="1804">
        <f>SUM(K277:K278)</f>
        <v>42.5</v>
      </c>
      <c r="L276" s="1804">
        <f>SUM(L277:L278)</f>
        <v>19.009999999999998</v>
      </c>
      <c r="M276" s="1018"/>
      <c r="N276" s="1018"/>
    </row>
    <row r="277" spans="1:14" ht="15.75" customHeight="1" thickBot="1" x14ac:dyDescent="0.25">
      <c r="A277" s="468" t="s">
        <v>383</v>
      </c>
      <c r="B277" s="475">
        <v>968</v>
      </c>
      <c r="C277" s="475">
        <v>113</v>
      </c>
      <c r="D277" s="475" t="s">
        <v>1473</v>
      </c>
      <c r="E277" s="475">
        <v>500</v>
      </c>
      <c r="F277" s="481">
        <v>244</v>
      </c>
      <c r="G277" s="481">
        <v>226</v>
      </c>
      <c r="H277" s="1804">
        <f>SUM(I277:L277)</f>
        <v>136.5</v>
      </c>
      <c r="I277" s="1805">
        <f>91.5-80.51</f>
        <v>10.989999999999995</v>
      </c>
      <c r="J277" s="1805">
        <f>15+76.5-27.5</f>
        <v>64</v>
      </c>
      <c r="K277" s="1804">
        <f>15+27.5</f>
        <v>42.5</v>
      </c>
      <c r="L277" s="1804">
        <f>15+4.01</f>
        <v>19.009999999999998</v>
      </c>
      <c r="M277" s="1018"/>
      <c r="N277" s="1018"/>
    </row>
    <row r="278" spans="1:14" ht="15.75" hidden="1" customHeight="1" thickBot="1" x14ac:dyDescent="0.25">
      <c r="A278" s="467" t="s">
        <v>278</v>
      </c>
      <c r="B278" s="475">
        <v>968</v>
      </c>
      <c r="C278" s="475">
        <v>113</v>
      </c>
      <c r="D278" s="475" t="s">
        <v>1473</v>
      </c>
      <c r="E278" s="475">
        <v>500</v>
      </c>
      <c r="F278" s="481">
        <v>244</v>
      </c>
      <c r="G278" s="1781">
        <v>290</v>
      </c>
      <c r="H278" s="2613">
        <f>SUM(I278:L278)</f>
        <v>0</v>
      </c>
      <c r="I278" s="2614">
        <v>0</v>
      </c>
      <c r="J278" s="2614">
        <v>0</v>
      </c>
      <c r="K278" s="2613">
        <v>0</v>
      </c>
      <c r="L278" s="2613">
        <f>30-30</f>
        <v>0</v>
      </c>
      <c r="M278" s="1018"/>
      <c r="N278" s="1018"/>
    </row>
    <row r="279" spans="1:14" ht="24.75" customHeight="1" thickBot="1" x14ac:dyDescent="0.25">
      <c r="A279" s="747" t="s">
        <v>281</v>
      </c>
      <c r="B279" s="748">
        <v>968</v>
      </c>
      <c r="C279" s="748">
        <v>300</v>
      </c>
      <c r="D279" s="748"/>
      <c r="E279" s="748"/>
      <c r="F279" s="749"/>
      <c r="G279" s="749"/>
      <c r="H279" s="2655">
        <f t="shared" si="34"/>
        <v>276.351</v>
      </c>
      <c r="I279" s="2655">
        <f>I280</f>
        <v>53.755000000000003</v>
      </c>
      <c r="J279" s="2655">
        <f>J280</f>
        <v>83.610000000000014</v>
      </c>
      <c r="K279" s="2655">
        <f>K280</f>
        <v>33</v>
      </c>
      <c r="L279" s="2655">
        <f>L280</f>
        <v>105.98599999999999</v>
      </c>
      <c r="M279" s="1018"/>
      <c r="N279" s="1018"/>
    </row>
    <row r="280" spans="1:14" ht="33" customHeight="1" x14ac:dyDescent="0.2">
      <c r="A280" s="822" t="s">
        <v>1052</v>
      </c>
      <c r="B280" s="744">
        <v>968</v>
      </c>
      <c r="C280" s="744">
        <v>309</v>
      </c>
      <c r="D280" s="744"/>
      <c r="E280" s="744"/>
      <c r="F280" s="745"/>
      <c r="G280" s="745"/>
      <c r="H280" s="2652">
        <f t="shared" si="34"/>
        <v>276.351</v>
      </c>
      <c r="I280" s="2651">
        <f>I281+I302</f>
        <v>53.755000000000003</v>
      </c>
      <c r="J280" s="2651">
        <f>J281+J302</f>
        <v>83.610000000000014</v>
      </c>
      <c r="K280" s="2651">
        <f>K281+K302</f>
        <v>33</v>
      </c>
      <c r="L280" s="2651">
        <f>L281+L302</f>
        <v>105.98599999999999</v>
      </c>
      <c r="M280" s="1018"/>
      <c r="N280" s="1018"/>
    </row>
    <row r="281" spans="1:14" ht="80.25" customHeight="1" x14ac:dyDescent="0.2">
      <c r="A281" s="1768" t="s">
        <v>1586</v>
      </c>
      <c r="B281" s="159">
        <v>968</v>
      </c>
      <c r="C281" s="159">
        <v>309</v>
      </c>
      <c r="D281" s="159" t="s">
        <v>1472</v>
      </c>
      <c r="E281" s="159"/>
      <c r="F281" s="489"/>
      <c r="G281" s="489"/>
      <c r="H281" s="821">
        <f>H283</f>
        <v>151.351</v>
      </c>
      <c r="I281" s="2100">
        <f t="shared" ref="I281:L282" si="36">I282</f>
        <v>42.765000000000001</v>
      </c>
      <c r="J281" s="2100">
        <f t="shared" si="36"/>
        <v>42.620000000000005</v>
      </c>
      <c r="K281" s="2100">
        <f t="shared" si="36"/>
        <v>15</v>
      </c>
      <c r="L281" s="821">
        <f t="shared" si="36"/>
        <v>50.965999999999994</v>
      </c>
      <c r="M281" s="1018"/>
      <c r="N281" s="1018"/>
    </row>
    <row r="282" spans="1:14" ht="18" customHeight="1" x14ac:dyDescent="0.2">
      <c r="A282" s="487" t="s">
        <v>1357</v>
      </c>
      <c r="B282" s="1820">
        <v>968</v>
      </c>
      <c r="C282" s="1820">
        <v>309</v>
      </c>
      <c r="D282" s="1820" t="s">
        <v>1472</v>
      </c>
      <c r="E282" s="1820">
        <v>500</v>
      </c>
      <c r="F282" s="1821">
        <v>200</v>
      </c>
      <c r="G282" s="489"/>
      <c r="H282" s="821">
        <f>SUM(I282:L282)</f>
        <v>151.351</v>
      </c>
      <c r="I282" s="2100">
        <f t="shared" si="36"/>
        <v>42.765000000000001</v>
      </c>
      <c r="J282" s="2100">
        <f t="shared" si="36"/>
        <v>42.620000000000005</v>
      </c>
      <c r="K282" s="2100">
        <f t="shared" si="36"/>
        <v>15</v>
      </c>
      <c r="L282" s="821">
        <f t="shared" si="36"/>
        <v>50.965999999999994</v>
      </c>
      <c r="M282" s="1018"/>
      <c r="N282" s="1018"/>
    </row>
    <row r="283" spans="1:14" x14ac:dyDescent="0.2">
      <c r="A283" s="1278" t="s">
        <v>1201</v>
      </c>
      <c r="B283" s="1285">
        <v>968</v>
      </c>
      <c r="C283" s="1285">
        <v>309</v>
      </c>
      <c r="D283" s="1285" t="s">
        <v>1472</v>
      </c>
      <c r="E283" s="1285">
        <v>500</v>
      </c>
      <c r="F283" s="1279">
        <v>244</v>
      </c>
      <c r="G283" s="1279"/>
      <c r="H283" s="1286">
        <f>H284+H286</f>
        <v>151.351</v>
      </c>
      <c r="I283" s="1287">
        <f>I284+I286</f>
        <v>42.765000000000001</v>
      </c>
      <c r="J283" s="1287">
        <f>J284+J286</f>
        <v>42.620000000000005</v>
      </c>
      <c r="K283" s="1286">
        <f>K284+K286</f>
        <v>15</v>
      </c>
      <c r="L283" s="1286">
        <f>L284+L286</f>
        <v>50.965999999999994</v>
      </c>
      <c r="M283" s="1018"/>
      <c r="N283" s="1018"/>
    </row>
    <row r="284" spans="1:14" x14ac:dyDescent="0.2">
      <c r="A284" s="466" t="s">
        <v>380</v>
      </c>
      <c r="B284" s="160">
        <v>968</v>
      </c>
      <c r="C284" s="160">
        <v>309</v>
      </c>
      <c r="D284" s="160" t="s">
        <v>1472</v>
      </c>
      <c r="E284" s="160">
        <v>500</v>
      </c>
      <c r="F284" s="423">
        <v>244</v>
      </c>
      <c r="G284" s="423">
        <v>200</v>
      </c>
      <c r="H284" s="2590">
        <f>H285</f>
        <v>151.351</v>
      </c>
      <c r="I284" s="2591">
        <f>I285</f>
        <v>42.765000000000001</v>
      </c>
      <c r="J284" s="2591">
        <f>J285</f>
        <v>42.620000000000005</v>
      </c>
      <c r="K284" s="2590">
        <f>K285</f>
        <v>15</v>
      </c>
      <c r="L284" s="2590">
        <f>L285</f>
        <v>50.965999999999994</v>
      </c>
      <c r="M284" s="1018"/>
      <c r="N284" s="1018"/>
    </row>
    <row r="285" spans="1:14" x14ac:dyDescent="0.2">
      <c r="A285" s="468" t="s">
        <v>383</v>
      </c>
      <c r="B285" s="475">
        <v>968</v>
      </c>
      <c r="C285" s="475">
        <v>309</v>
      </c>
      <c r="D285" s="475" t="s">
        <v>1472</v>
      </c>
      <c r="E285" s="475">
        <v>500</v>
      </c>
      <c r="F285" s="481">
        <v>244</v>
      </c>
      <c r="G285" s="481">
        <v>226</v>
      </c>
      <c r="H285" s="1802">
        <f>SUM(I285:L285)</f>
        <v>151.351</v>
      </c>
      <c r="I285" s="1803">
        <f>46.775-4.01</f>
        <v>42.765000000000001</v>
      </c>
      <c r="J285" s="1803">
        <f>46.774-4.154</f>
        <v>42.620000000000005</v>
      </c>
      <c r="K285" s="1802">
        <v>15</v>
      </c>
      <c r="L285" s="1802">
        <f>42.802+4.01+4.154</f>
        <v>50.965999999999994</v>
      </c>
      <c r="M285" s="1018"/>
      <c r="N285" s="1018"/>
    </row>
    <row r="286" spans="1:14" hidden="1" x14ac:dyDescent="0.2">
      <c r="A286" s="465" t="s">
        <v>384</v>
      </c>
      <c r="B286" s="742">
        <v>968</v>
      </c>
      <c r="C286" s="742">
        <v>309</v>
      </c>
      <c r="D286" s="742" t="s">
        <v>557</v>
      </c>
      <c r="E286" s="742">
        <v>500</v>
      </c>
      <c r="F286" s="1274"/>
      <c r="G286" s="755">
        <v>300</v>
      </c>
      <c r="H286" s="2607">
        <f>SUM(H287:H288)</f>
        <v>0</v>
      </c>
      <c r="I286" s="2608">
        <f>SUM(I287:I288)</f>
        <v>0</v>
      </c>
      <c r="J286" s="2608">
        <f>SUM(J287:J288)</f>
        <v>0</v>
      </c>
      <c r="K286" s="2608">
        <f>SUM(K287:K288)</f>
        <v>0</v>
      </c>
      <c r="L286" s="2607">
        <f>SUM(L287:L288)</f>
        <v>0</v>
      </c>
      <c r="M286" s="1018"/>
      <c r="N286" s="1018"/>
    </row>
    <row r="287" spans="1:14" hidden="1" x14ac:dyDescent="0.2">
      <c r="A287" s="468" t="s">
        <v>279</v>
      </c>
      <c r="B287" s="475">
        <v>968</v>
      </c>
      <c r="C287" s="475">
        <v>309</v>
      </c>
      <c r="D287" s="475" t="s">
        <v>557</v>
      </c>
      <c r="E287" s="475">
        <v>500</v>
      </c>
      <c r="F287" s="481"/>
      <c r="G287" s="481">
        <v>310</v>
      </c>
      <c r="H287" s="2609">
        <f>SUM(I287:L287)</f>
        <v>0</v>
      </c>
      <c r="I287" s="2610">
        <v>0</v>
      </c>
      <c r="J287" s="2610">
        <v>0</v>
      </c>
      <c r="K287" s="2609">
        <v>0</v>
      </c>
      <c r="L287" s="2609">
        <v>0</v>
      </c>
      <c r="M287" s="1018"/>
      <c r="N287" s="1018"/>
    </row>
    <row r="288" spans="1:14" hidden="1" x14ac:dyDescent="0.2">
      <c r="A288" s="468" t="s">
        <v>280</v>
      </c>
      <c r="B288" s="475">
        <v>968</v>
      </c>
      <c r="C288" s="475">
        <v>309</v>
      </c>
      <c r="D288" s="475" t="s">
        <v>557</v>
      </c>
      <c r="E288" s="475">
        <v>500</v>
      </c>
      <c r="F288" s="481"/>
      <c r="G288" s="481">
        <v>340</v>
      </c>
      <c r="H288" s="2609">
        <f>SUM(I288:L288)</f>
        <v>0</v>
      </c>
      <c r="I288" s="2610">
        <v>0</v>
      </c>
      <c r="J288" s="2610">
        <v>0</v>
      </c>
      <c r="K288" s="2609">
        <v>0</v>
      </c>
      <c r="L288" s="2609">
        <v>0</v>
      </c>
      <c r="M288" s="1018"/>
      <c r="N288" s="1018"/>
    </row>
    <row r="289" spans="1:16" hidden="1" x14ac:dyDescent="0.2">
      <c r="A289" s="465" t="s">
        <v>384</v>
      </c>
      <c r="B289" s="742">
        <v>968</v>
      </c>
      <c r="C289" s="742">
        <v>309</v>
      </c>
      <c r="D289" s="742" t="str">
        <f>D290</f>
        <v>219 01 00</v>
      </c>
      <c r="E289" s="742">
        <v>500</v>
      </c>
      <c r="F289" s="1274">
        <v>240</v>
      </c>
      <c r="G289" s="755">
        <v>300</v>
      </c>
      <c r="H289" s="2607">
        <f>SUM(H290:H297)</f>
        <v>0</v>
      </c>
      <c r="I289" s="2607">
        <f>SUM(I290:I297)</f>
        <v>0</v>
      </c>
      <c r="J289" s="2608">
        <f>SUM(J290:J297)</f>
        <v>0</v>
      </c>
      <c r="K289" s="2607">
        <f>SUM(K290:K297)</f>
        <v>0</v>
      </c>
      <c r="L289" s="2607">
        <f>SUM(L290:L297)</f>
        <v>0</v>
      </c>
      <c r="M289" s="1018"/>
      <c r="N289" s="1018"/>
    </row>
    <row r="290" spans="1:16" hidden="1" x14ac:dyDescent="0.2">
      <c r="A290" s="468" t="s">
        <v>279</v>
      </c>
      <c r="B290" s="475">
        <v>968</v>
      </c>
      <c r="C290" s="742">
        <v>309</v>
      </c>
      <c r="D290" s="742" t="s">
        <v>1152</v>
      </c>
      <c r="E290" s="742">
        <v>500</v>
      </c>
      <c r="F290" s="1274">
        <v>240</v>
      </c>
      <c r="G290" s="481">
        <v>310</v>
      </c>
      <c r="H290" s="2609">
        <f>SUM(I290:L290)</f>
        <v>0</v>
      </c>
      <c r="I290" s="2610">
        <v>0</v>
      </c>
      <c r="J290" s="2610">
        <v>0</v>
      </c>
      <c r="K290" s="2609">
        <v>0</v>
      </c>
      <c r="L290" s="2609">
        <v>0</v>
      </c>
      <c r="M290" s="1018"/>
      <c r="N290" s="1018"/>
    </row>
    <row r="291" spans="1:16" ht="34.5" hidden="1" customHeight="1" x14ac:dyDescent="0.2">
      <c r="A291" s="490" t="s">
        <v>36</v>
      </c>
      <c r="B291" s="463">
        <v>968</v>
      </c>
      <c r="C291" s="463">
        <v>309</v>
      </c>
      <c r="D291" s="463" t="s">
        <v>13</v>
      </c>
      <c r="E291" s="166"/>
      <c r="F291" s="482"/>
      <c r="G291" s="482"/>
      <c r="H291" s="2609">
        <f t="shared" ref="H291:H297" si="37">SUM(I291:L291)</f>
        <v>0</v>
      </c>
      <c r="I291" s="2620">
        <f>I292</f>
        <v>0</v>
      </c>
      <c r="J291" s="2620">
        <f>J292</f>
        <v>0</v>
      </c>
      <c r="K291" s="2621">
        <f>K292</f>
        <v>0</v>
      </c>
      <c r="L291" s="2621">
        <f>L292</f>
        <v>0</v>
      </c>
      <c r="M291" s="1018"/>
      <c r="N291" s="1018"/>
    </row>
    <row r="292" spans="1:16" hidden="1" x14ac:dyDescent="0.2">
      <c r="A292" s="487" t="s">
        <v>469</v>
      </c>
      <c r="B292" s="156">
        <v>968</v>
      </c>
      <c r="C292" s="156">
        <v>309</v>
      </c>
      <c r="D292" s="156" t="s">
        <v>13</v>
      </c>
      <c r="E292" s="156">
        <v>500</v>
      </c>
      <c r="F292" s="479"/>
      <c r="G292" s="479"/>
      <c r="H292" s="2609">
        <f t="shared" si="37"/>
        <v>0</v>
      </c>
      <c r="I292" s="2608">
        <f>I293+I295</f>
        <v>0</v>
      </c>
      <c r="J292" s="2608">
        <f>J293+J295</f>
        <v>0</v>
      </c>
      <c r="K292" s="2607">
        <f>K293+K295</f>
        <v>0</v>
      </c>
      <c r="L292" s="2607">
        <f>L293+L295</f>
        <v>0</v>
      </c>
      <c r="M292" s="1018"/>
      <c r="N292" s="1018"/>
    </row>
    <row r="293" spans="1:16" hidden="1" x14ac:dyDescent="0.2">
      <c r="A293" s="466" t="s">
        <v>380</v>
      </c>
      <c r="B293" s="160">
        <v>968</v>
      </c>
      <c r="C293" s="160">
        <v>309</v>
      </c>
      <c r="D293" s="160" t="s">
        <v>13</v>
      </c>
      <c r="E293" s="160">
        <v>500</v>
      </c>
      <c r="F293" s="423"/>
      <c r="G293" s="423">
        <v>200</v>
      </c>
      <c r="H293" s="2609">
        <f t="shared" si="37"/>
        <v>0</v>
      </c>
      <c r="I293" s="2619">
        <f>I294</f>
        <v>0</v>
      </c>
      <c r="J293" s="2619">
        <f>J294</f>
        <v>0</v>
      </c>
      <c r="K293" s="2618">
        <f>K294</f>
        <v>0</v>
      </c>
      <c r="L293" s="2618">
        <f>L294</f>
        <v>0</v>
      </c>
      <c r="M293" s="1018"/>
      <c r="N293" s="1018"/>
    </row>
    <row r="294" spans="1:16" hidden="1" x14ac:dyDescent="0.2">
      <c r="A294" s="468" t="s">
        <v>383</v>
      </c>
      <c r="B294" s="475">
        <v>968</v>
      </c>
      <c r="C294" s="475">
        <v>309</v>
      </c>
      <c r="D294" s="475" t="s">
        <v>13</v>
      </c>
      <c r="E294" s="475">
        <v>500</v>
      </c>
      <c r="F294" s="481"/>
      <c r="G294" s="481">
        <v>226</v>
      </c>
      <c r="H294" s="2609">
        <f t="shared" si="37"/>
        <v>0</v>
      </c>
      <c r="I294" s="2610">
        <v>0</v>
      </c>
      <c r="J294" s="2610">
        <v>0</v>
      </c>
      <c r="K294" s="2609">
        <v>0</v>
      </c>
      <c r="L294" s="2609">
        <v>0</v>
      </c>
      <c r="M294" s="1018"/>
      <c r="N294" s="1018"/>
    </row>
    <row r="295" spans="1:16" hidden="1" x14ac:dyDescent="0.2">
      <c r="A295" s="465" t="s">
        <v>384</v>
      </c>
      <c r="B295" s="742">
        <v>968</v>
      </c>
      <c r="C295" s="742">
        <v>309</v>
      </c>
      <c r="D295" s="742" t="s">
        <v>13</v>
      </c>
      <c r="E295" s="742">
        <v>500</v>
      </c>
      <c r="F295" s="1274"/>
      <c r="G295" s="755">
        <v>300</v>
      </c>
      <c r="H295" s="2609">
        <f t="shared" si="37"/>
        <v>0</v>
      </c>
      <c r="I295" s="2608">
        <f>I296</f>
        <v>0</v>
      </c>
      <c r="J295" s="2608">
        <f>J296</f>
        <v>0</v>
      </c>
      <c r="K295" s="2607">
        <f>K296</f>
        <v>0</v>
      </c>
      <c r="L295" s="2607">
        <f>L296</f>
        <v>0</v>
      </c>
      <c r="M295" s="1018"/>
      <c r="N295" s="1018"/>
    </row>
    <row r="296" spans="1:16" hidden="1" x14ac:dyDescent="0.2">
      <c r="A296" s="468" t="s">
        <v>279</v>
      </c>
      <c r="B296" s="475">
        <v>968</v>
      </c>
      <c r="C296" s="475">
        <v>309</v>
      </c>
      <c r="D296" s="475" t="s">
        <v>13</v>
      </c>
      <c r="E296" s="475">
        <v>500</v>
      </c>
      <c r="F296" s="481"/>
      <c r="G296" s="481">
        <v>310</v>
      </c>
      <c r="H296" s="2609">
        <f t="shared" si="37"/>
        <v>0</v>
      </c>
      <c r="I296" s="2610">
        <v>0</v>
      </c>
      <c r="J296" s="2610">
        <v>0</v>
      </c>
      <c r="K296" s="2609">
        <v>0</v>
      </c>
      <c r="L296" s="2609">
        <v>0</v>
      </c>
      <c r="M296" s="1018"/>
      <c r="N296" s="1018"/>
    </row>
    <row r="297" spans="1:16" hidden="1" x14ac:dyDescent="0.2">
      <c r="A297" s="468" t="s">
        <v>280</v>
      </c>
      <c r="B297" s="475">
        <v>968</v>
      </c>
      <c r="C297" s="475">
        <v>309</v>
      </c>
      <c r="D297" s="475" t="s">
        <v>558</v>
      </c>
      <c r="E297" s="475">
        <v>500</v>
      </c>
      <c r="F297" s="481"/>
      <c r="G297" s="481">
        <v>340</v>
      </c>
      <c r="H297" s="2609">
        <f t="shared" si="37"/>
        <v>0</v>
      </c>
      <c r="I297" s="2610">
        <v>0</v>
      </c>
      <c r="J297" s="2610">
        <v>0</v>
      </c>
      <c r="K297" s="2609">
        <v>0</v>
      </c>
      <c r="L297" s="2609">
        <v>0</v>
      </c>
      <c r="M297" s="1018"/>
      <c r="N297" s="1018"/>
    </row>
    <row r="298" spans="1:16" ht="25.5" hidden="1" customHeight="1" x14ac:dyDescent="0.2">
      <c r="A298" s="176"/>
      <c r="B298" s="40"/>
      <c r="C298" s="40"/>
      <c r="D298" s="40"/>
      <c r="E298" s="40"/>
      <c r="F298" s="40"/>
      <c r="G298" s="40"/>
      <c r="H298" s="2622"/>
      <c r="I298" s="2623"/>
      <c r="J298" s="2623"/>
      <c r="K298" s="2623"/>
      <c r="L298" s="2624"/>
      <c r="M298" s="1018"/>
      <c r="N298" s="1018"/>
      <c r="O298" s="1017"/>
      <c r="P298" s="1017"/>
    </row>
    <row r="299" spans="1:16" ht="16.5" hidden="1" customHeight="1" x14ac:dyDescent="0.2">
      <c r="A299" s="176"/>
      <c r="B299" s="40"/>
      <c r="C299" s="40"/>
      <c r="D299" s="40"/>
      <c r="E299" s="40"/>
      <c r="F299" s="40"/>
      <c r="G299" s="40"/>
      <c r="H299" s="2622"/>
      <c r="I299" s="2623"/>
      <c r="J299" s="2623"/>
      <c r="K299" s="2623"/>
      <c r="L299" s="2624"/>
      <c r="M299" s="1018"/>
      <c r="N299" s="1018"/>
    </row>
    <row r="300" spans="1:16" hidden="1" x14ac:dyDescent="0.2">
      <c r="A300" s="176"/>
      <c r="B300" s="40"/>
      <c r="C300" s="40"/>
      <c r="D300" s="40"/>
      <c r="E300" s="40"/>
      <c r="F300" s="40"/>
      <c r="G300" s="40"/>
      <c r="H300" s="2622"/>
      <c r="I300" s="2623"/>
      <c r="J300" s="2623"/>
      <c r="K300" s="2623"/>
      <c r="L300" s="2624"/>
      <c r="M300" s="1018"/>
      <c r="N300" s="1018"/>
    </row>
    <row r="301" spans="1:16" hidden="1" x14ac:dyDescent="0.2">
      <c r="A301" s="176"/>
      <c r="B301" s="40"/>
      <c r="C301" s="40"/>
      <c r="D301" s="40"/>
      <c r="E301" s="40"/>
      <c r="F301" s="40"/>
      <c r="G301" s="40"/>
      <c r="H301" s="2622"/>
      <c r="I301" s="2623"/>
      <c r="J301" s="2623"/>
      <c r="K301" s="2623"/>
      <c r="L301" s="2624"/>
      <c r="M301" s="1018"/>
      <c r="N301" s="1018"/>
    </row>
    <row r="302" spans="1:16" ht="34.5" customHeight="1" x14ac:dyDescent="0.2">
      <c r="A302" s="490" t="s">
        <v>1587</v>
      </c>
      <c r="B302" s="166">
        <v>968</v>
      </c>
      <c r="C302" s="166">
        <v>309</v>
      </c>
      <c r="D302" s="166" t="str">
        <f>D304</f>
        <v>795 05 00</v>
      </c>
      <c r="E302" s="166"/>
      <c r="F302" s="482"/>
      <c r="G302" s="482"/>
      <c r="H302" s="832">
        <f>H304</f>
        <v>125</v>
      </c>
      <c r="I302" s="959">
        <f t="shared" ref="I302:L303" si="38">I303</f>
        <v>10.99</v>
      </c>
      <c r="J302" s="959">
        <f t="shared" si="38"/>
        <v>40.99</v>
      </c>
      <c r="K302" s="959">
        <f t="shared" si="38"/>
        <v>18</v>
      </c>
      <c r="L302" s="832">
        <f t="shared" si="38"/>
        <v>55.019999999999996</v>
      </c>
      <c r="M302" s="1018"/>
      <c r="N302" s="1018"/>
    </row>
    <row r="303" spans="1:16" ht="15.75" customHeight="1" x14ac:dyDescent="0.2">
      <c r="A303" s="487" t="s">
        <v>1357</v>
      </c>
      <c r="B303" s="1285">
        <v>968</v>
      </c>
      <c r="C303" s="1285">
        <v>309</v>
      </c>
      <c r="D303" s="1285" t="str">
        <f>D304</f>
        <v>795 05 00</v>
      </c>
      <c r="E303" s="1285">
        <v>500</v>
      </c>
      <c r="F303" s="1279">
        <v>200</v>
      </c>
      <c r="G303" s="482"/>
      <c r="H303" s="832">
        <f>SUM(I303:L303)</f>
        <v>125</v>
      </c>
      <c r="I303" s="959">
        <f t="shared" si="38"/>
        <v>10.99</v>
      </c>
      <c r="J303" s="959">
        <f t="shared" si="38"/>
        <v>40.99</v>
      </c>
      <c r="K303" s="959">
        <f t="shared" si="38"/>
        <v>18</v>
      </c>
      <c r="L303" s="832">
        <f t="shared" si="38"/>
        <v>55.019999999999996</v>
      </c>
      <c r="M303" s="1018"/>
      <c r="N303" s="1018"/>
    </row>
    <row r="304" spans="1:16" x14ac:dyDescent="0.2">
      <c r="A304" s="1278" t="s">
        <v>1201</v>
      </c>
      <c r="B304" s="1285">
        <v>968</v>
      </c>
      <c r="C304" s="1285">
        <v>309</v>
      </c>
      <c r="D304" s="1285" t="str">
        <f>D305</f>
        <v>795 05 00</v>
      </c>
      <c r="E304" s="1285">
        <v>500</v>
      </c>
      <c r="F304" s="1279">
        <v>244</v>
      </c>
      <c r="G304" s="1279"/>
      <c r="H304" s="1286">
        <f>H305</f>
        <v>125</v>
      </c>
      <c r="I304" s="1287">
        <f>I305</f>
        <v>10.99</v>
      </c>
      <c r="J304" s="1287">
        <f>J305</f>
        <v>40.99</v>
      </c>
      <c r="K304" s="1286">
        <f>K305</f>
        <v>18</v>
      </c>
      <c r="L304" s="1286">
        <f>L305</f>
        <v>55.019999999999996</v>
      </c>
      <c r="M304" s="1018"/>
      <c r="N304" s="1018"/>
    </row>
    <row r="305" spans="1:14" x14ac:dyDescent="0.2">
      <c r="A305" s="465" t="s">
        <v>380</v>
      </c>
      <c r="B305" s="156">
        <v>968</v>
      </c>
      <c r="C305" s="156">
        <v>309</v>
      </c>
      <c r="D305" s="156" t="str">
        <f>D306</f>
        <v>795 05 00</v>
      </c>
      <c r="E305" s="156">
        <v>500</v>
      </c>
      <c r="F305" s="479">
        <v>244</v>
      </c>
      <c r="G305" s="479">
        <v>200</v>
      </c>
      <c r="H305" s="1804">
        <f t="shared" ref="H305:H311" si="39">SUM(I305:L305)</f>
        <v>125</v>
      </c>
      <c r="I305" s="1805">
        <f>SUM(I306:I307)</f>
        <v>10.99</v>
      </c>
      <c r="J305" s="1805">
        <f>SUM(J306:J307)</f>
        <v>40.99</v>
      </c>
      <c r="K305" s="1805">
        <f>SUM(K306:K307)</f>
        <v>18</v>
      </c>
      <c r="L305" s="1804">
        <f>SUM(L306:L307)</f>
        <v>55.019999999999996</v>
      </c>
      <c r="M305" s="1018"/>
      <c r="N305" s="1018"/>
    </row>
    <row r="306" spans="1:14" x14ac:dyDescent="0.2">
      <c r="A306" s="739" t="s">
        <v>383</v>
      </c>
      <c r="B306" s="475">
        <v>968</v>
      </c>
      <c r="C306" s="475">
        <v>309</v>
      </c>
      <c r="D306" s="475" t="s">
        <v>15</v>
      </c>
      <c r="E306" s="475">
        <v>500</v>
      </c>
      <c r="F306" s="475">
        <v>244</v>
      </c>
      <c r="G306" s="475">
        <v>226</v>
      </c>
      <c r="H306" s="2571">
        <f t="shared" si="39"/>
        <v>65</v>
      </c>
      <c r="I306" s="2571">
        <f>15-4.01</f>
        <v>10.99</v>
      </c>
      <c r="J306" s="2571">
        <f>15-4.01</f>
        <v>10.99</v>
      </c>
      <c r="K306" s="2571">
        <f>15+3</f>
        <v>18</v>
      </c>
      <c r="L306" s="2645">
        <f>17+4.01+4.01</f>
        <v>25.019999999999996</v>
      </c>
      <c r="M306" s="1018"/>
      <c r="N306" s="1018"/>
    </row>
    <row r="307" spans="1:14" ht="13.5" thickBot="1" x14ac:dyDescent="0.25">
      <c r="A307" s="467" t="s">
        <v>278</v>
      </c>
      <c r="B307" s="475">
        <v>968</v>
      </c>
      <c r="C307" s="475">
        <v>309</v>
      </c>
      <c r="D307" s="475" t="s">
        <v>15</v>
      </c>
      <c r="E307" s="475">
        <v>500</v>
      </c>
      <c r="F307" s="475">
        <v>244</v>
      </c>
      <c r="G307" s="475">
        <v>290</v>
      </c>
      <c r="H307" s="2571">
        <f t="shared" si="39"/>
        <v>60</v>
      </c>
      <c r="I307" s="2571">
        <f>60-30-30</f>
        <v>0</v>
      </c>
      <c r="J307" s="2571">
        <f>30+30-30</f>
        <v>30</v>
      </c>
      <c r="K307" s="2571">
        <v>0</v>
      </c>
      <c r="L307" s="2645">
        <v>30</v>
      </c>
      <c r="M307" s="1018"/>
      <c r="N307" s="1018"/>
    </row>
    <row r="308" spans="1:14" ht="15.75" thickBot="1" x14ac:dyDescent="0.25">
      <c r="A308" s="1242" t="s">
        <v>1014</v>
      </c>
      <c r="B308" s="2143">
        <v>968</v>
      </c>
      <c r="C308" s="2143">
        <v>400</v>
      </c>
      <c r="D308" s="2143"/>
      <c r="E308" s="2143"/>
      <c r="F308" s="2144"/>
      <c r="G308" s="2144"/>
      <c r="H308" s="2658">
        <f t="shared" si="39"/>
        <v>186.5</v>
      </c>
      <c r="I308" s="2658">
        <f>I309+I315+I320</f>
        <v>0</v>
      </c>
      <c r="J308" s="2658">
        <f>J309+J315+J320</f>
        <v>0</v>
      </c>
      <c r="K308" s="2658">
        <f>K309+K315+K320</f>
        <v>186.5</v>
      </c>
      <c r="L308" s="2658">
        <f>L309+L315+L320</f>
        <v>0</v>
      </c>
      <c r="M308" s="1018"/>
      <c r="N308" s="1018"/>
    </row>
    <row r="309" spans="1:14" ht="15" x14ac:dyDescent="0.2">
      <c r="A309" s="822" t="s">
        <v>1064</v>
      </c>
      <c r="B309" s="744">
        <v>968</v>
      </c>
      <c r="C309" s="744">
        <v>401</v>
      </c>
      <c r="D309" s="744"/>
      <c r="E309" s="744"/>
      <c r="F309" s="745"/>
      <c r="G309" s="745"/>
      <c r="H309" s="2649">
        <f t="shared" si="39"/>
        <v>166.5</v>
      </c>
      <c r="I309" s="2650">
        <f t="shared" ref="I309:L310" si="40">I310</f>
        <v>0</v>
      </c>
      <c r="J309" s="2651">
        <f t="shared" si="40"/>
        <v>0</v>
      </c>
      <c r="K309" s="2652">
        <f t="shared" si="40"/>
        <v>166.5</v>
      </c>
      <c r="L309" s="2652">
        <f t="shared" si="40"/>
        <v>0</v>
      </c>
      <c r="M309" s="1018"/>
      <c r="N309" s="1018"/>
    </row>
    <row r="310" spans="1:14" ht="24" x14ac:dyDescent="0.2">
      <c r="A310" s="487" t="s">
        <v>1142</v>
      </c>
      <c r="B310" s="166">
        <v>968</v>
      </c>
      <c r="C310" s="166">
        <v>401</v>
      </c>
      <c r="D310" s="166" t="s">
        <v>1065</v>
      </c>
      <c r="E310" s="166"/>
      <c r="F310" s="482"/>
      <c r="G310" s="482"/>
      <c r="H310" s="832">
        <f t="shared" si="39"/>
        <v>166.5</v>
      </c>
      <c r="I310" s="959">
        <f>I311</f>
        <v>0</v>
      </c>
      <c r="J310" s="959">
        <f t="shared" si="40"/>
        <v>0</v>
      </c>
      <c r="K310" s="959">
        <f t="shared" si="40"/>
        <v>166.5</v>
      </c>
      <c r="L310" s="832">
        <f t="shared" si="40"/>
        <v>0</v>
      </c>
      <c r="M310" s="1018"/>
      <c r="N310" s="1018"/>
    </row>
    <row r="311" spans="1:14" x14ac:dyDescent="0.2">
      <c r="A311" s="487" t="s">
        <v>1360</v>
      </c>
      <c r="B311" s="830">
        <v>968</v>
      </c>
      <c r="C311" s="830">
        <v>401</v>
      </c>
      <c r="D311" s="830" t="s">
        <v>1065</v>
      </c>
      <c r="E311" s="1331">
        <v>6</v>
      </c>
      <c r="F311" s="2104">
        <v>800</v>
      </c>
      <c r="G311" s="2099"/>
      <c r="H311" s="821">
        <f t="shared" si="39"/>
        <v>166.5</v>
      </c>
      <c r="I311" s="2100">
        <f>I312</f>
        <v>0</v>
      </c>
      <c r="J311" s="2100">
        <f>J312</f>
        <v>0</v>
      </c>
      <c r="K311" s="2100">
        <f>K312</f>
        <v>166.5</v>
      </c>
      <c r="L311" s="821">
        <f>L312</f>
        <v>0</v>
      </c>
      <c r="M311" s="1018"/>
      <c r="N311" s="1018"/>
    </row>
    <row r="312" spans="1:14" ht="26.25" customHeight="1" x14ac:dyDescent="0.2">
      <c r="A312" s="2103" t="s">
        <v>1120</v>
      </c>
      <c r="B312" s="1820">
        <v>968</v>
      </c>
      <c r="C312" s="1820">
        <v>401</v>
      </c>
      <c r="D312" s="1820" t="s">
        <v>1065</v>
      </c>
      <c r="E312" s="2101">
        <v>6</v>
      </c>
      <c r="F312" s="2102">
        <v>810</v>
      </c>
      <c r="G312" s="1821"/>
      <c r="H312" s="1286">
        <f t="shared" ref="H312:L313" si="41">H313</f>
        <v>166.5</v>
      </c>
      <c r="I312" s="1287">
        <f t="shared" si="41"/>
        <v>0</v>
      </c>
      <c r="J312" s="1287">
        <f t="shared" si="41"/>
        <v>0</v>
      </c>
      <c r="K312" s="1286">
        <f t="shared" si="41"/>
        <v>166.5</v>
      </c>
      <c r="L312" s="1286">
        <f t="shared" si="41"/>
        <v>0</v>
      </c>
      <c r="M312" s="1018"/>
      <c r="N312" s="1018"/>
    </row>
    <row r="313" spans="1:14" x14ac:dyDescent="0.2">
      <c r="A313" s="465" t="s">
        <v>380</v>
      </c>
      <c r="B313" s="156">
        <v>968</v>
      </c>
      <c r="C313" s="156">
        <v>401</v>
      </c>
      <c r="D313" s="156" t="s">
        <v>1065</v>
      </c>
      <c r="E313" s="962">
        <v>6</v>
      </c>
      <c r="F313" s="1272">
        <v>810</v>
      </c>
      <c r="G313" s="479">
        <v>200</v>
      </c>
      <c r="H313" s="1804">
        <f t="shared" si="41"/>
        <v>166.5</v>
      </c>
      <c r="I313" s="1805">
        <f t="shared" si="41"/>
        <v>0</v>
      </c>
      <c r="J313" s="1805">
        <f t="shared" si="41"/>
        <v>0</v>
      </c>
      <c r="K313" s="1804">
        <f t="shared" si="41"/>
        <v>166.5</v>
      </c>
      <c r="L313" s="1804">
        <f t="shared" si="41"/>
        <v>0</v>
      </c>
      <c r="M313" s="1018"/>
      <c r="N313" s="1018"/>
    </row>
    <row r="314" spans="1:14" ht="23.25" customHeight="1" thickBot="1" x14ac:dyDescent="0.25">
      <c r="A314" s="1036" t="s">
        <v>1063</v>
      </c>
      <c r="B314" s="1037">
        <v>968</v>
      </c>
      <c r="C314" s="1037">
        <v>401</v>
      </c>
      <c r="D314" s="1037" t="s">
        <v>1065</v>
      </c>
      <c r="E314" s="1235">
        <v>6</v>
      </c>
      <c r="F314" s="1275">
        <v>810</v>
      </c>
      <c r="G314" s="1038">
        <v>242</v>
      </c>
      <c r="H314" s="2653">
        <f>SUM(I314:L314)</f>
        <v>166.5</v>
      </c>
      <c r="I314" s="2648">
        <v>0</v>
      </c>
      <c r="J314" s="2648">
        <v>0</v>
      </c>
      <c r="K314" s="2648">
        <v>166.5</v>
      </c>
      <c r="L314" s="2653">
        <v>0</v>
      </c>
      <c r="M314" s="1018"/>
      <c r="N314" s="1018"/>
    </row>
    <row r="315" spans="1:14" ht="16.5" hidden="1" customHeight="1" x14ac:dyDescent="0.2">
      <c r="A315" s="822" t="s">
        <v>1187</v>
      </c>
      <c r="B315" s="744">
        <v>968</v>
      </c>
      <c r="C315" s="744">
        <v>410</v>
      </c>
      <c r="D315" s="744"/>
      <c r="E315" s="1236"/>
      <c r="F315" s="1276"/>
      <c r="G315" s="745"/>
      <c r="H315" s="2625">
        <f>SUM(I315:L315)</f>
        <v>0</v>
      </c>
      <c r="I315" s="2626">
        <f t="shared" ref="I315:L316" si="42">I316</f>
        <v>0</v>
      </c>
      <c r="J315" s="2617">
        <f t="shared" si="42"/>
        <v>0</v>
      </c>
      <c r="K315" s="2616">
        <f t="shared" si="42"/>
        <v>0</v>
      </c>
      <c r="L315" s="2616">
        <f t="shared" si="42"/>
        <v>0</v>
      </c>
      <c r="M315" s="1018"/>
      <c r="N315" s="1018"/>
    </row>
    <row r="316" spans="1:14" ht="15" hidden="1" customHeight="1" x14ac:dyDescent="0.2">
      <c r="A316" s="487" t="s">
        <v>1188</v>
      </c>
      <c r="B316" s="166">
        <v>968</v>
      </c>
      <c r="C316" s="166">
        <v>410</v>
      </c>
      <c r="D316" s="166" t="s">
        <v>1186</v>
      </c>
      <c r="E316" s="166"/>
      <c r="F316" s="482"/>
      <c r="G316" s="482"/>
      <c r="H316" s="2598">
        <f>SUM(I316:L316)</f>
        <v>0</v>
      </c>
      <c r="I316" s="2599">
        <f t="shared" si="42"/>
        <v>0</v>
      </c>
      <c r="J316" s="2599">
        <f t="shared" si="42"/>
        <v>0</v>
      </c>
      <c r="K316" s="2599">
        <f t="shared" si="42"/>
        <v>0</v>
      </c>
      <c r="L316" s="2598">
        <f t="shared" si="42"/>
        <v>0</v>
      </c>
      <c r="M316" s="1018"/>
      <c r="N316" s="1018"/>
    </row>
    <row r="317" spans="1:14" ht="18.75" hidden="1" customHeight="1" x14ac:dyDescent="0.2">
      <c r="A317" s="1278" t="s">
        <v>1118</v>
      </c>
      <c r="B317" s="1285">
        <v>968</v>
      </c>
      <c r="C317" s="1285">
        <v>410</v>
      </c>
      <c r="D317" s="1285" t="s">
        <v>1186</v>
      </c>
      <c r="E317" s="1285">
        <v>500</v>
      </c>
      <c r="F317" s="1279">
        <v>240</v>
      </c>
      <c r="G317" s="1279"/>
      <c r="H317" s="2602">
        <f t="shared" ref="H317:L318" si="43">H318</f>
        <v>0</v>
      </c>
      <c r="I317" s="2603">
        <f t="shared" si="43"/>
        <v>0</v>
      </c>
      <c r="J317" s="2603">
        <f t="shared" si="43"/>
        <v>0</v>
      </c>
      <c r="K317" s="2602">
        <f t="shared" si="43"/>
        <v>0</v>
      </c>
      <c r="L317" s="2602">
        <f t="shared" si="43"/>
        <v>0</v>
      </c>
      <c r="M317" s="1018"/>
      <c r="N317" s="1018"/>
    </row>
    <row r="318" spans="1:14" ht="15.75" hidden="1" customHeight="1" x14ac:dyDescent="0.2">
      <c r="A318" s="465" t="s">
        <v>380</v>
      </c>
      <c r="B318" s="156">
        <v>968</v>
      </c>
      <c r="C318" s="156">
        <v>410</v>
      </c>
      <c r="D318" s="156" t="s">
        <v>1186</v>
      </c>
      <c r="E318" s="156">
        <v>500</v>
      </c>
      <c r="F318" s="479">
        <v>240</v>
      </c>
      <c r="G318" s="479">
        <v>200</v>
      </c>
      <c r="H318" s="2607">
        <f t="shared" si="43"/>
        <v>0</v>
      </c>
      <c r="I318" s="2608">
        <f t="shared" si="43"/>
        <v>0</v>
      </c>
      <c r="J318" s="2608">
        <f t="shared" si="43"/>
        <v>0</v>
      </c>
      <c r="K318" s="2607">
        <f t="shared" si="43"/>
        <v>0</v>
      </c>
      <c r="L318" s="2607">
        <f t="shared" si="43"/>
        <v>0</v>
      </c>
      <c r="M318" s="1018"/>
      <c r="N318" s="1018"/>
    </row>
    <row r="319" spans="1:14" ht="15.75" hidden="1" customHeight="1" thickBot="1" x14ac:dyDescent="0.25">
      <c r="A319" s="1036" t="s">
        <v>383</v>
      </c>
      <c r="B319" s="1037">
        <v>968</v>
      </c>
      <c r="C319" s="1037">
        <v>410</v>
      </c>
      <c r="D319" s="1037" t="s">
        <v>1186</v>
      </c>
      <c r="E319" s="1037">
        <v>500</v>
      </c>
      <c r="F319" s="1038">
        <v>240</v>
      </c>
      <c r="G319" s="1038">
        <v>226</v>
      </c>
      <c r="H319" s="2627">
        <f>SUM(I319:L319)</f>
        <v>0</v>
      </c>
      <c r="I319" s="2628">
        <v>0</v>
      </c>
      <c r="J319" s="2628">
        <v>0</v>
      </c>
      <c r="K319" s="2628">
        <v>0</v>
      </c>
      <c r="L319" s="2627">
        <v>0</v>
      </c>
      <c r="M319" s="1018"/>
      <c r="N319" s="1018"/>
    </row>
    <row r="320" spans="1:14" ht="15" x14ac:dyDescent="0.2">
      <c r="A320" s="822" t="s">
        <v>1015</v>
      </c>
      <c r="B320" s="744">
        <v>968</v>
      </c>
      <c r="C320" s="744">
        <v>412</v>
      </c>
      <c r="D320" s="744"/>
      <c r="E320" s="1236"/>
      <c r="F320" s="1276"/>
      <c r="G320" s="745"/>
      <c r="H320" s="2649">
        <f>SUM(I320:L320)</f>
        <v>20</v>
      </c>
      <c r="I320" s="2650">
        <f t="shared" ref="I320:L321" si="44">I321</f>
        <v>0</v>
      </c>
      <c r="J320" s="2651">
        <f t="shared" si="44"/>
        <v>0</v>
      </c>
      <c r="K320" s="2652">
        <f t="shared" si="44"/>
        <v>20</v>
      </c>
      <c r="L320" s="2652">
        <f t="shared" si="44"/>
        <v>0</v>
      </c>
      <c r="M320" s="1018"/>
      <c r="N320" s="1018"/>
    </row>
    <row r="321" spans="1:26" ht="24" x14ac:dyDescent="0.2">
      <c r="A321" s="487" t="s">
        <v>1588</v>
      </c>
      <c r="B321" s="166">
        <v>968</v>
      </c>
      <c r="C321" s="166">
        <v>412</v>
      </c>
      <c r="D321" s="166" t="s">
        <v>1468</v>
      </c>
      <c r="E321" s="166"/>
      <c r="F321" s="482"/>
      <c r="G321" s="482"/>
      <c r="H321" s="832">
        <f>SUM(I321:L321)</f>
        <v>20</v>
      </c>
      <c r="I321" s="959">
        <f>I322</f>
        <v>0</v>
      </c>
      <c r="J321" s="959">
        <f t="shared" si="44"/>
        <v>0</v>
      </c>
      <c r="K321" s="959">
        <f t="shared" si="44"/>
        <v>20</v>
      </c>
      <c r="L321" s="832">
        <f t="shared" si="44"/>
        <v>0</v>
      </c>
      <c r="M321" s="1018"/>
      <c r="N321" s="1018"/>
    </row>
    <row r="322" spans="1:26" x14ac:dyDescent="0.2">
      <c r="A322" s="487" t="s">
        <v>1357</v>
      </c>
      <c r="B322" s="1285">
        <v>968</v>
      </c>
      <c r="C322" s="1285">
        <v>412</v>
      </c>
      <c r="D322" s="1285" t="s">
        <v>1468</v>
      </c>
      <c r="E322" s="1285">
        <v>500</v>
      </c>
      <c r="F322" s="1279">
        <v>200</v>
      </c>
      <c r="G322" s="482"/>
      <c r="H322" s="832">
        <f>SUM(I322:L322)</f>
        <v>20</v>
      </c>
      <c r="I322" s="959">
        <f>I323</f>
        <v>0</v>
      </c>
      <c r="J322" s="959">
        <f>J323</f>
        <v>0</v>
      </c>
      <c r="K322" s="959">
        <f>K323</f>
        <v>20</v>
      </c>
      <c r="L322" s="832">
        <f>L323</f>
        <v>0</v>
      </c>
      <c r="M322" s="1018"/>
      <c r="N322" s="1018"/>
    </row>
    <row r="323" spans="1:26" x14ac:dyDescent="0.2">
      <c r="A323" s="1278" t="s">
        <v>1201</v>
      </c>
      <c r="B323" s="1285">
        <v>968</v>
      </c>
      <c r="C323" s="1285">
        <v>412</v>
      </c>
      <c r="D323" s="1285" t="s">
        <v>1468</v>
      </c>
      <c r="E323" s="1285">
        <v>500</v>
      </c>
      <c r="F323" s="1279">
        <v>244</v>
      </c>
      <c r="G323" s="1279"/>
      <c r="H323" s="1286">
        <f t="shared" ref="H323:L324" si="45">H324</f>
        <v>20</v>
      </c>
      <c r="I323" s="1287">
        <f t="shared" si="45"/>
        <v>0</v>
      </c>
      <c r="J323" s="1287">
        <f t="shared" si="45"/>
        <v>0</v>
      </c>
      <c r="K323" s="1286">
        <f t="shared" si="45"/>
        <v>20</v>
      </c>
      <c r="L323" s="1286">
        <f t="shared" si="45"/>
        <v>0</v>
      </c>
      <c r="M323" s="1018"/>
      <c r="N323" s="1018"/>
    </row>
    <row r="324" spans="1:26" x14ac:dyDescent="0.2">
      <c r="A324" s="465" t="s">
        <v>380</v>
      </c>
      <c r="B324" s="156">
        <v>968</v>
      </c>
      <c r="C324" s="156">
        <v>412</v>
      </c>
      <c r="D324" s="156" t="s">
        <v>1468</v>
      </c>
      <c r="E324" s="156">
        <v>500</v>
      </c>
      <c r="F324" s="479">
        <v>244</v>
      </c>
      <c r="G324" s="479">
        <v>200</v>
      </c>
      <c r="H324" s="1804">
        <f t="shared" si="45"/>
        <v>20</v>
      </c>
      <c r="I324" s="1805">
        <f t="shared" si="45"/>
        <v>0</v>
      </c>
      <c r="J324" s="1805">
        <f t="shared" si="45"/>
        <v>0</v>
      </c>
      <c r="K324" s="1804">
        <f t="shared" si="45"/>
        <v>20</v>
      </c>
      <c r="L324" s="1804">
        <f t="shared" si="45"/>
        <v>0</v>
      </c>
      <c r="M324" s="1018"/>
      <c r="N324" s="1018"/>
    </row>
    <row r="325" spans="1:26" ht="13.5" thickBot="1" x14ac:dyDescent="0.25">
      <c r="A325" s="1036" t="s">
        <v>383</v>
      </c>
      <c r="B325" s="1037">
        <v>968</v>
      </c>
      <c r="C325" s="1037">
        <v>412</v>
      </c>
      <c r="D325" s="1037" t="s">
        <v>1468</v>
      </c>
      <c r="E325" s="1037">
        <v>500</v>
      </c>
      <c r="F325" s="1038">
        <v>244</v>
      </c>
      <c r="G325" s="1038">
        <v>226</v>
      </c>
      <c r="H325" s="2653">
        <f>SUM(I325:L325)</f>
        <v>20</v>
      </c>
      <c r="I325" s="2648">
        <v>0</v>
      </c>
      <c r="J325" s="2648">
        <v>0</v>
      </c>
      <c r="K325" s="2648">
        <v>20</v>
      </c>
      <c r="L325" s="2653">
        <v>0</v>
      </c>
      <c r="M325" s="1018"/>
      <c r="N325" s="1018"/>
    </row>
    <row r="326" spans="1:26" ht="15.75" thickBot="1" x14ac:dyDescent="0.25">
      <c r="A326" s="747" t="s">
        <v>283</v>
      </c>
      <c r="B326" s="748">
        <v>968</v>
      </c>
      <c r="C326" s="748">
        <v>500</v>
      </c>
      <c r="D326" s="748"/>
      <c r="E326" s="748"/>
      <c r="F326" s="749"/>
      <c r="G326" s="749"/>
      <c r="H326" s="2655">
        <f>SUM(I326:L326)</f>
        <v>50864.908000000003</v>
      </c>
      <c r="I326" s="2655">
        <f>I327</f>
        <v>382.11</v>
      </c>
      <c r="J326" s="2674">
        <f>J327</f>
        <v>2111.376999999999</v>
      </c>
      <c r="K326" s="2655">
        <f>K327</f>
        <v>47848.957999999999</v>
      </c>
      <c r="L326" s="2655">
        <f>L327</f>
        <v>522.46299999999997</v>
      </c>
      <c r="M326" s="1018"/>
      <c r="N326" s="1018"/>
    </row>
    <row r="327" spans="1:26" ht="15.75" thickBot="1" x14ac:dyDescent="0.25">
      <c r="A327" s="488" t="s">
        <v>449</v>
      </c>
      <c r="B327" s="473">
        <v>968</v>
      </c>
      <c r="C327" s="473">
        <v>503</v>
      </c>
      <c r="D327" s="473"/>
      <c r="E327" s="473"/>
      <c r="F327" s="478"/>
      <c r="G327" s="478"/>
      <c r="H327" s="2675">
        <f>SUM(I327:L327)</f>
        <v>50864.908000000003</v>
      </c>
      <c r="I327" s="2675">
        <f>I328+I363+I383+I411</f>
        <v>382.11</v>
      </c>
      <c r="J327" s="2675">
        <f>J328+J363+J383+J411</f>
        <v>2111.376999999999</v>
      </c>
      <c r="K327" s="2675">
        <f>K328+K363+K383+K411</f>
        <v>47848.957999999999</v>
      </c>
      <c r="L327" s="2675">
        <f>L328+L363+L383+L411</f>
        <v>522.46299999999997</v>
      </c>
      <c r="M327" s="1018"/>
      <c r="N327" s="1018"/>
    </row>
    <row r="328" spans="1:26" ht="18" customHeight="1" x14ac:dyDescent="0.2">
      <c r="A328" s="1769" t="s">
        <v>1164</v>
      </c>
      <c r="B328" s="166">
        <v>968</v>
      </c>
      <c r="C328" s="166">
        <v>503</v>
      </c>
      <c r="D328" s="166" t="s">
        <v>451</v>
      </c>
      <c r="E328" s="166"/>
      <c r="F328" s="482"/>
      <c r="G328" s="482"/>
      <c r="H328" s="2676">
        <f>H329+H339+H344+H355</f>
        <v>37497.312999999995</v>
      </c>
      <c r="I328" s="2676">
        <f>I329+I339+I344+I355</f>
        <v>174.71199999999999</v>
      </c>
      <c r="J328" s="2676">
        <f>J329+J339+J344+J355</f>
        <v>663.47499999999877</v>
      </c>
      <c r="K328" s="2676">
        <f>K329+K339+K344+K355</f>
        <v>36629.125999999997</v>
      </c>
      <c r="L328" s="2676">
        <f>L329+L339+L344+L355</f>
        <v>30</v>
      </c>
      <c r="M328" s="1018"/>
      <c r="N328" s="1018"/>
    </row>
    <row r="329" spans="1:26" ht="25.5" customHeight="1" x14ac:dyDescent="0.2">
      <c r="A329" s="490" t="s">
        <v>1231</v>
      </c>
      <c r="B329" s="159">
        <v>968</v>
      </c>
      <c r="C329" s="159">
        <v>503</v>
      </c>
      <c r="D329" s="159" t="s">
        <v>453</v>
      </c>
      <c r="E329" s="159"/>
      <c r="F329" s="489"/>
      <c r="G329" s="489"/>
      <c r="H329" s="821">
        <f>SUM(I329:L329)</f>
        <v>32851.471999999994</v>
      </c>
      <c r="I329" s="821">
        <f>I330+I335</f>
        <v>84.711999999999989</v>
      </c>
      <c r="J329" s="821">
        <f>J330+J335</f>
        <v>551.87499999999875</v>
      </c>
      <c r="K329" s="821">
        <f>K330+K335</f>
        <v>32214.884999999998</v>
      </c>
      <c r="L329" s="821">
        <f>L330+L335</f>
        <v>0</v>
      </c>
      <c r="M329" s="1018"/>
      <c r="N329" s="1018"/>
    </row>
    <row r="330" spans="1:26" ht="13.5" customHeight="1" x14ac:dyDescent="0.2">
      <c r="A330" s="487" t="s">
        <v>1357</v>
      </c>
      <c r="B330" s="1820">
        <v>968</v>
      </c>
      <c r="C330" s="1820">
        <v>503</v>
      </c>
      <c r="D330" s="1820" t="s">
        <v>453</v>
      </c>
      <c r="E330" s="1820">
        <v>500</v>
      </c>
      <c r="F330" s="1821">
        <v>200</v>
      </c>
      <c r="G330" s="489"/>
      <c r="H330" s="821">
        <f>SUM(I330:L330)</f>
        <v>32309.071999999996</v>
      </c>
      <c r="I330" s="821">
        <f t="shared" ref="I330:L331" si="46">I331</f>
        <v>84.711999999999989</v>
      </c>
      <c r="J330" s="821">
        <f t="shared" si="46"/>
        <v>9.4749999999987722</v>
      </c>
      <c r="K330" s="821">
        <f t="shared" si="46"/>
        <v>32214.884999999998</v>
      </c>
      <c r="L330" s="821">
        <f t="shared" si="46"/>
        <v>0</v>
      </c>
      <c r="M330" s="1018"/>
      <c r="N330" s="1018"/>
    </row>
    <row r="331" spans="1:26" ht="15" customHeight="1" x14ac:dyDescent="0.2">
      <c r="A331" s="1278" t="s">
        <v>1201</v>
      </c>
      <c r="B331" s="1285">
        <v>968</v>
      </c>
      <c r="C331" s="1285">
        <v>503</v>
      </c>
      <c r="D331" s="1285" t="s">
        <v>453</v>
      </c>
      <c r="E331" s="1285">
        <v>500</v>
      </c>
      <c r="F331" s="1279">
        <v>244</v>
      </c>
      <c r="G331" s="1279"/>
      <c r="H331" s="1286">
        <f>H332</f>
        <v>32309.071999999996</v>
      </c>
      <c r="I331" s="1286">
        <f t="shared" si="46"/>
        <v>84.711999999999989</v>
      </c>
      <c r="J331" s="2662">
        <f t="shared" si="46"/>
        <v>9.4749999999987722</v>
      </c>
      <c r="K331" s="1286">
        <f t="shared" si="46"/>
        <v>32214.884999999998</v>
      </c>
      <c r="L331" s="1286">
        <f t="shared" si="46"/>
        <v>0</v>
      </c>
      <c r="M331" s="1018"/>
      <c r="N331" s="1018"/>
    </row>
    <row r="332" spans="1:26" x14ac:dyDescent="0.2">
      <c r="A332" s="465" t="s">
        <v>380</v>
      </c>
      <c r="B332" s="156">
        <v>968</v>
      </c>
      <c r="C332" s="156">
        <v>503</v>
      </c>
      <c r="D332" s="156" t="s">
        <v>453</v>
      </c>
      <c r="E332" s="156">
        <v>500</v>
      </c>
      <c r="F332" s="479">
        <v>244</v>
      </c>
      <c r="G332" s="479">
        <v>200</v>
      </c>
      <c r="H332" s="1804">
        <f>SUM(I332:L332)</f>
        <v>32309.071999999996</v>
      </c>
      <c r="I332" s="1804">
        <f>SUM(I333:I334)</f>
        <v>84.711999999999989</v>
      </c>
      <c r="J332" s="1804">
        <f>SUM(J333:J334)</f>
        <v>9.4749999999987722</v>
      </c>
      <c r="K332" s="1804">
        <f>SUM(K333:K334)</f>
        <v>32214.884999999998</v>
      </c>
      <c r="L332" s="1804">
        <f>SUM(L333:L334)</f>
        <v>0</v>
      </c>
      <c r="M332" s="1018"/>
      <c r="N332" s="1018"/>
      <c r="O332" s="2952"/>
      <c r="P332" s="2953"/>
      <c r="Q332" s="2953"/>
      <c r="R332" s="2953"/>
      <c r="S332" s="2953"/>
      <c r="T332" s="2953"/>
      <c r="U332" s="2954"/>
      <c r="V332" s="2955"/>
      <c r="W332" s="2955"/>
      <c r="X332" s="2955"/>
      <c r="Y332" s="2955"/>
      <c r="Z332" s="2955"/>
    </row>
    <row r="333" spans="1:26" ht="12.75" hidden="1" customHeight="1" x14ac:dyDescent="0.2">
      <c r="A333" s="468" t="s">
        <v>382</v>
      </c>
      <c r="B333" s="156">
        <v>968</v>
      </c>
      <c r="C333" s="475">
        <v>503</v>
      </c>
      <c r="D333" s="475" t="s">
        <v>453</v>
      </c>
      <c r="E333" s="475">
        <v>500</v>
      </c>
      <c r="F333" s="481">
        <v>244</v>
      </c>
      <c r="G333" s="481">
        <v>225</v>
      </c>
      <c r="H333" s="1802">
        <f>SUM(I333:L333)</f>
        <v>0</v>
      </c>
      <c r="I333" s="1802">
        <v>0</v>
      </c>
      <c r="J333" s="2663">
        <v>0</v>
      </c>
      <c r="K333" s="1802">
        <v>0</v>
      </c>
      <c r="L333" s="1802">
        <v>0</v>
      </c>
      <c r="M333" s="1018"/>
      <c r="N333" s="1018"/>
      <c r="O333" s="2956"/>
      <c r="P333" s="2957"/>
      <c r="Q333" s="2957"/>
      <c r="R333" s="2957"/>
      <c r="S333" s="2957"/>
      <c r="T333" s="2957"/>
      <c r="U333" s="2957"/>
      <c r="V333" s="2958"/>
      <c r="W333" s="2958"/>
      <c r="X333" s="2958"/>
      <c r="Y333" s="2958"/>
      <c r="Z333" s="2958"/>
    </row>
    <row r="334" spans="1:26" ht="16.5" customHeight="1" x14ac:dyDescent="0.2">
      <c r="A334" s="468" t="s">
        <v>383</v>
      </c>
      <c r="B334" s="475">
        <v>968</v>
      </c>
      <c r="C334" s="475">
        <v>503</v>
      </c>
      <c r="D334" s="475" t="s">
        <v>453</v>
      </c>
      <c r="E334" s="475">
        <v>500</v>
      </c>
      <c r="F334" s="481">
        <v>244</v>
      </c>
      <c r="G334" s="481">
        <v>226</v>
      </c>
      <c r="H334" s="1802">
        <f>SUM(I334:K334)</f>
        <v>32309.071999999996</v>
      </c>
      <c r="I334" s="1802">
        <f>0+125.232-40.52</f>
        <v>84.711999999999989</v>
      </c>
      <c r="J334" s="2663">
        <f>20000-17974.649+43.918+40.52-177.853-1922.461</f>
        <v>9.4749999999987722</v>
      </c>
      <c r="K334" s="1802">
        <f>12084.176+18199.196-119.15-29.398+2080.061</f>
        <v>32214.884999999998</v>
      </c>
      <c r="L334" s="1802">
        <v>0</v>
      </c>
      <c r="M334" s="1018"/>
      <c r="N334" s="1018"/>
      <c r="O334" s="986"/>
      <c r="P334" s="983"/>
      <c r="Q334" s="983"/>
      <c r="R334" s="983"/>
      <c r="S334" s="983"/>
      <c r="T334" s="983"/>
      <c r="U334" s="983"/>
      <c r="V334" s="2959"/>
      <c r="W334" s="2959"/>
      <c r="X334" s="2959"/>
      <c r="Y334" s="2959"/>
      <c r="Z334" s="2959"/>
    </row>
    <row r="335" spans="1:26" x14ac:dyDescent="0.2">
      <c r="A335" s="487" t="s">
        <v>1360</v>
      </c>
      <c r="B335" s="830">
        <v>968</v>
      </c>
      <c r="C335" s="830">
        <v>503</v>
      </c>
      <c r="D335" s="1820" t="s">
        <v>453</v>
      </c>
      <c r="E335" s="830">
        <v>500</v>
      </c>
      <c r="F335" s="2099">
        <v>800</v>
      </c>
      <c r="G335" s="2099"/>
      <c r="H335" s="821">
        <f>H336</f>
        <v>542.4</v>
      </c>
      <c r="I335" s="2100">
        <f>I336</f>
        <v>0</v>
      </c>
      <c r="J335" s="2100">
        <f>J336</f>
        <v>542.4</v>
      </c>
      <c r="K335" s="2100">
        <f>K336</f>
        <v>0</v>
      </c>
      <c r="L335" s="2100">
        <f>L336</f>
        <v>0</v>
      </c>
      <c r="M335" s="1018"/>
      <c r="N335" s="1018"/>
    </row>
    <row r="336" spans="1:26" x14ac:dyDescent="0.2">
      <c r="A336" s="1278" t="s">
        <v>1220</v>
      </c>
      <c r="B336" s="1285">
        <v>968</v>
      </c>
      <c r="C336" s="1285">
        <v>503</v>
      </c>
      <c r="D336" s="1285" t="s">
        <v>453</v>
      </c>
      <c r="E336" s="1285">
        <v>500</v>
      </c>
      <c r="F336" s="1279">
        <v>852</v>
      </c>
      <c r="G336" s="2106"/>
      <c r="H336" s="1286">
        <f t="shared" ref="H336:L337" si="47">H337</f>
        <v>542.4</v>
      </c>
      <c r="I336" s="1286">
        <f>I337</f>
        <v>0</v>
      </c>
      <c r="J336" s="1286">
        <f>J337</f>
        <v>542.4</v>
      </c>
      <c r="K336" s="1286">
        <f>K337</f>
        <v>0</v>
      </c>
      <c r="L336" s="1286">
        <f>L337</f>
        <v>0</v>
      </c>
      <c r="M336" s="1018"/>
      <c r="N336" s="1018"/>
    </row>
    <row r="337" spans="1:14" x14ac:dyDescent="0.2">
      <c r="A337" s="465" t="s">
        <v>380</v>
      </c>
      <c r="B337" s="156">
        <v>968</v>
      </c>
      <c r="C337" s="156">
        <v>503</v>
      </c>
      <c r="D337" s="156" t="s">
        <v>453</v>
      </c>
      <c r="E337" s="156">
        <v>500</v>
      </c>
      <c r="F337" s="479">
        <v>852</v>
      </c>
      <c r="G337" s="479">
        <v>200</v>
      </c>
      <c r="H337" s="2589">
        <f t="shared" si="47"/>
        <v>542.4</v>
      </c>
      <c r="I337" s="2589">
        <f>I338</f>
        <v>0</v>
      </c>
      <c r="J337" s="2589">
        <f t="shared" si="47"/>
        <v>542.4</v>
      </c>
      <c r="K337" s="2589">
        <f t="shared" si="47"/>
        <v>0</v>
      </c>
      <c r="L337" s="2589">
        <f t="shared" si="47"/>
        <v>0</v>
      </c>
      <c r="M337" s="1018"/>
      <c r="N337" s="1018"/>
    </row>
    <row r="338" spans="1:14" ht="14.25" customHeight="1" x14ac:dyDescent="0.2">
      <c r="A338" s="467" t="s">
        <v>278</v>
      </c>
      <c r="B338" s="474">
        <v>968</v>
      </c>
      <c r="C338" s="474">
        <v>503</v>
      </c>
      <c r="D338" s="475" t="s">
        <v>453</v>
      </c>
      <c r="E338" s="474">
        <v>500</v>
      </c>
      <c r="F338" s="480">
        <v>852</v>
      </c>
      <c r="G338" s="480">
        <v>290</v>
      </c>
      <c r="H338" s="2590">
        <f>SUM(I338:L338)</f>
        <v>542.4</v>
      </c>
      <c r="I338" s="2591">
        <f>10-10</f>
        <v>0</v>
      </c>
      <c r="J338" s="2591">
        <f>700-157.6</f>
        <v>542.4</v>
      </c>
      <c r="K338" s="2590">
        <v>0</v>
      </c>
      <c r="L338" s="2590">
        <v>0</v>
      </c>
      <c r="M338" s="1018"/>
      <c r="N338" s="1018"/>
    </row>
    <row r="339" spans="1:14" ht="17.25" customHeight="1" x14ac:dyDescent="0.2">
      <c r="A339" s="490" t="s">
        <v>1165</v>
      </c>
      <c r="B339" s="159">
        <v>968</v>
      </c>
      <c r="C339" s="159">
        <v>503</v>
      </c>
      <c r="D339" s="475" t="s">
        <v>453</v>
      </c>
      <c r="E339" s="159"/>
      <c r="F339" s="489"/>
      <c r="G339" s="489"/>
      <c r="H339" s="821">
        <f>H341</f>
        <v>468.53700000000003</v>
      </c>
      <c r="I339" s="821">
        <f t="shared" ref="I339:L340" si="48">I340</f>
        <v>0</v>
      </c>
      <c r="J339" s="821">
        <f t="shared" si="48"/>
        <v>0</v>
      </c>
      <c r="K339" s="821">
        <f t="shared" si="48"/>
        <v>468.53700000000003</v>
      </c>
      <c r="L339" s="821">
        <f t="shared" si="48"/>
        <v>0</v>
      </c>
      <c r="M339" s="1018"/>
      <c r="N339" s="1018"/>
    </row>
    <row r="340" spans="1:14" ht="17.25" customHeight="1" x14ac:dyDescent="0.2">
      <c r="A340" s="487" t="s">
        <v>1357</v>
      </c>
      <c r="B340" s="1820">
        <v>968</v>
      </c>
      <c r="C340" s="1820">
        <v>503</v>
      </c>
      <c r="D340" s="1820" t="s">
        <v>454</v>
      </c>
      <c r="E340" s="1820">
        <v>500</v>
      </c>
      <c r="F340" s="1821">
        <v>200</v>
      </c>
      <c r="G340" s="489"/>
      <c r="H340" s="821">
        <f>SUM(I340:L340)</f>
        <v>468.53700000000003</v>
      </c>
      <c r="I340" s="821">
        <f t="shared" si="48"/>
        <v>0</v>
      </c>
      <c r="J340" s="821">
        <f t="shared" si="48"/>
        <v>0</v>
      </c>
      <c r="K340" s="821">
        <f t="shared" si="48"/>
        <v>468.53700000000003</v>
      </c>
      <c r="L340" s="821">
        <f t="shared" si="48"/>
        <v>0</v>
      </c>
      <c r="M340" s="1018"/>
      <c r="N340" s="1018"/>
    </row>
    <row r="341" spans="1:14" x14ac:dyDescent="0.2">
      <c r="A341" s="1278" t="s">
        <v>1201</v>
      </c>
      <c r="B341" s="1285">
        <v>968</v>
      </c>
      <c r="C341" s="1285">
        <v>503</v>
      </c>
      <c r="D341" s="1285" t="s">
        <v>454</v>
      </c>
      <c r="E341" s="1285">
        <v>500</v>
      </c>
      <c r="F341" s="1279">
        <v>244</v>
      </c>
      <c r="G341" s="1279"/>
      <c r="H341" s="1286">
        <f>SUM(I341:L341)</f>
        <v>468.53700000000003</v>
      </c>
      <c r="I341" s="1286">
        <f t="shared" ref="I341:L342" si="49">I342</f>
        <v>0</v>
      </c>
      <c r="J341" s="2662">
        <f>J342</f>
        <v>0</v>
      </c>
      <c r="K341" s="1286">
        <f>K342</f>
        <v>468.53700000000003</v>
      </c>
      <c r="L341" s="1286">
        <f t="shared" si="49"/>
        <v>0</v>
      </c>
      <c r="M341" s="1018"/>
      <c r="N341" s="1018"/>
    </row>
    <row r="342" spans="1:14" x14ac:dyDescent="0.2">
      <c r="A342" s="465" t="s">
        <v>380</v>
      </c>
      <c r="B342" s="156">
        <v>968</v>
      </c>
      <c r="C342" s="156">
        <v>503</v>
      </c>
      <c r="D342" s="156" t="s">
        <v>454</v>
      </c>
      <c r="E342" s="156">
        <v>500</v>
      </c>
      <c r="F342" s="479">
        <v>244</v>
      </c>
      <c r="G342" s="479">
        <v>200</v>
      </c>
      <c r="H342" s="1804">
        <f>SUM(I342:L342)</f>
        <v>468.53700000000003</v>
      </c>
      <c r="I342" s="1804">
        <f t="shared" si="49"/>
        <v>0</v>
      </c>
      <c r="J342" s="2664">
        <f>J343</f>
        <v>0</v>
      </c>
      <c r="K342" s="1804">
        <f>K343</f>
        <v>468.53700000000003</v>
      </c>
      <c r="L342" s="1804">
        <f t="shared" si="49"/>
        <v>0</v>
      </c>
      <c r="M342" s="1018"/>
      <c r="N342" s="1018"/>
    </row>
    <row r="343" spans="1:14" ht="15" customHeight="1" x14ac:dyDescent="0.2">
      <c r="A343" s="468" t="s">
        <v>383</v>
      </c>
      <c r="B343" s="475">
        <v>968</v>
      </c>
      <c r="C343" s="475">
        <v>503</v>
      </c>
      <c r="D343" s="475" t="s">
        <v>454</v>
      </c>
      <c r="E343" s="475">
        <v>500</v>
      </c>
      <c r="F343" s="481">
        <v>244</v>
      </c>
      <c r="G343" s="481">
        <v>226</v>
      </c>
      <c r="H343" s="1802">
        <f>SUM(I343:L343)</f>
        <v>468.53700000000003</v>
      </c>
      <c r="I343" s="1802">
        <v>0</v>
      </c>
      <c r="J343" s="2663">
        <f>777.139-777.139</f>
        <v>0</v>
      </c>
      <c r="K343" s="1802">
        <f>473.524-0.467-4.52</f>
        <v>468.53700000000003</v>
      </c>
      <c r="L343" s="1802">
        <v>0</v>
      </c>
      <c r="M343" s="1018"/>
      <c r="N343" s="1018"/>
    </row>
    <row r="344" spans="1:14" ht="17.25" customHeight="1" x14ac:dyDescent="0.2">
      <c r="A344" s="2972" t="s">
        <v>37</v>
      </c>
      <c r="B344" s="2973">
        <v>968</v>
      </c>
      <c r="C344" s="2973">
        <v>503</v>
      </c>
      <c r="D344" s="2973" t="s">
        <v>455</v>
      </c>
      <c r="E344" s="2973"/>
      <c r="F344" s="2974"/>
      <c r="G344" s="2974"/>
      <c r="H344" s="2975">
        <f>H346+H350</f>
        <v>2324.3319999999999</v>
      </c>
      <c r="I344" s="2975">
        <f t="shared" ref="I344:L345" si="50">I345</f>
        <v>0</v>
      </c>
      <c r="J344" s="2975">
        <f t="shared" si="50"/>
        <v>81.599999999999994</v>
      </c>
      <c r="K344" s="2975">
        <f t="shared" si="50"/>
        <v>2242.732</v>
      </c>
      <c r="L344" s="2975">
        <f t="shared" si="50"/>
        <v>0</v>
      </c>
      <c r="M344" s="1018"/>
      <c r="N344" s="1018"/>
    </row>
    <row r="345" spans="1:14" ht="17.25" customHeight="1" x14ac:dyDescent="0.2">
      <c r="A345" s="487" t="s">
        <v>1357</v>
      </c>
      <c r="B345" s="1820">
        <v>968</v>
      </c>
      <c r="C345" s="1820">
        <v>503</v>
      </c>
      <c r="D345" s="1820" t="s">
        <v>455</v>
      </c>
      <c r="E345" s="1820">
        <v>500</v>
      </c>
      <c r="F345" s="1821">
        <v>200</v>
      </c>
      <c r="G345" s="489"/>
      <c r="H345" s="821">
        <f>SUM(I345:L345)</f>
        <v>2324.3319999999999</v>
      </c>
      <c r="I345" s="821">
        <f t="shared" si="50"/>
        <v>0</v>
      </c>
      <c r="J345" s="821">
        <f t="shared" si="50"/>
        <v>81.599999999999994</v>
      </c>
      <c r="K345" s="821">
        <f t="shared" si="50"/>
        <v>2242.732</v>
      </c>
      <c r="L345" s="821">
        <f t="shared" si="50"/>
        <v>0</v>
      </c>
      <c r="M345" s="1018"/>
      <c r="N345" s="1018"/>
    </row>
    <row r="346" spans="1:14" x14ac:dyDescent="0.2">
      <c r="A346" s="1278" t="s">
        <v>1201</v>
      </c>
      <c r="B346" s="1285">
        <v>968</v>
      </c>
      <c r="C346" s="1285">
        <v>503</v>
      </c>
      <c r="D346" s="1285" t="s">
        <v>455</v>
      </c>
      <c r="E346" s="1285">
        <v>500</v>
      </c>
      <c r="F346" s="1279">
        <v>244</v>
      </c>
      <c r="G346" s="1279"/>
      <c r="H346" s="1286">
        <f>SUM(I346:L346)</f>
        <v>2324.3319999999999</v>
      </c>
      <c r="I346" s="1286">
        <f>I347+I353</f>
        <v>0</v>
      </c>
      <c r="J346" s="1286">
        <f>J347+J353</f>
        <v>81.599999999999994</v>
      </c>
      <c r="K346" s="1286">
        <f>K347+K353</f>
        <v>2242.732</v>
      </c>
      <c r="L346" s="1286">
        <f>L347+L353</f>
        <v>0</v>
      </c>
      <c r="M346" s="1018"/>
      <c r="N346" s="1018"/>
    </row>
    <row r="347" spans="1:14" x14ac:dyDescent="0.2">
      <c r="A347" s="465" t="s">
        <v>380</v>
      </c>
      <c r="B347" s="156">
        <v>968</v>
      </c>
      <c r="C347" s="156">
        <v>503</v>
      </c>
      <c r="D347" s="156" t="s">
        <v>455</v>
      </c>
      <c r="E347" s="156">
        <v>500</v>
      </c>
      <c r="F347" s="479">
        <v>244</v>
      </c>
      <c r="G347" s="479">
        <v>200</v>
      </c>
      <c r="H347" s="1804">
        <f>SUM(I347:L347)</f>
        <v>771.46699999999998</v>
      </c>
      <c r="I347" s="1804">
        <f>SUM(I348:I349)</f>
        <v>0</v>
      </c>
      <c r="J347" s="1804">
        <f>SUM(J348:J349)</f>
        <v>0</v>
      </c>
      <c r="K347" s="1804">
        <f>SUM(K348:K349)</f>
        <v>771.46699999999998</v>
      </c>
      <c r="L347" s="1804">
        <f>SUM(L348:L349)</f>
        <v>0</v>
      </c>
      <c r="M347" s="1018"/>
      <c r="N347" s="1018"/>
    </row>
    <row r="348" spans="1:14" x14ac:dyDescent="0.2">
      <c r="A348" s="468" t="s">
        <v>382</v>
      </c>
      <c r="B348" s="475">
        <v>968</v>
      </c>
      <c r="C348" s="475">
        <v>503</v>
      </c>
      <c r="D348" s="475" t="s">
        <v>455</v>
      </c>
      <c r="E348" s="475">
        <v>500</v>
      </c>
      <c r="F348" s="481">
        <v>244</v>
      </c>
      <c r="G348" s="481">
        <v>225</v>
      </c>
      <c r="H348" s="1802">
        <f>SUM(I348:L348)</f>
        <v>751.52</v>
      </c>
      <c r="I348" s="1802">
        <v>0</v>
      </c>
      <c r="J348" s="2663">
        <f>500-500</f>
        <v>0</v>
      </c>
      <c r="K348" s="1802">
        <f>1000-248.48</f>
        <v>751.52</v>
      </c>
      <c r="L348" s="1802">
        <v>0</v>
      </c>
      <c r="M348" s="1018"/>
      <c r="N348" s="1018"/>
    </row>
    <row r="349" spans="1:14" ht="12" customHeight="1" x14ac:dyDescent="0.2">
      <c r="A349" s="468" t="s">
        <v>383</v>
      </c>
      <c r="B349" s="475">
        <v>968</v>
      </c>
      <c r="C349" s="475">
        <v>503</v>
      </c>
      <c r="D349" s="475" t="s">
        <v>455</v>
      </c>
      <c r="E349" s="475">
        <v>500</v>
      </c>
      <c r="F349" s="481">
        <v>244</v>
      </c>
      <c r="G349" s="481">
        <v>226</v>
      </c>
      <c r="H349" s="1802">
        <f>SUM(I349:L349)</f>
        <v>19.947000000000003</v>
      </c>
      <c r="I349" s="1802">
        <v>0</v>
      </c>
      <c r="J349" s="2663">
        <v>0</v>
      </c>
      <c r="K349" s="1802">
        <f>42.988-5.803-17.238</f>
        <v>19.947000000000003</v>
      </c>
      <c r="L349" s="1802">
        <v>0</v>
      </c>
      <c r="M349" s="1018"/>
      <c r="N349" s="1018"/>
    </row>
    <row r="350" spans="1:14" ht="24" hidden="1" x14ac:dyDescent="0.2">
      <c r="A350" s="835" t="s">
        <v>886</v>
      </c>
      <c r="B350" s="156">
        <v>968</v>
      </c>
      <c r="C350" s="156">
        <v>503</v>
      </c>
      <c r="D350" s="156" t="s">
        <v>455</v>
      </c>
      <c r="E350" s="156">
        <v>599</v>
      </c>
      <c r="F350" s="479"/>
      <c r="G350" s="479"/>
      <c r="H350" s="2607">
        <f t="shared" ref="H350:L351" si="51">H351</f>
        <v>0</v>
      </c>
      <c r="I350" s="2607">
        <f t="shared" si="51"/>
        <v>0</v>
      </c>
      <c r="J350" s="2631">
        <f t="shared" si="51"/>
        <v>0</v>
      </c>
      <c r="K350" s="2607">
        <f t="shared" si="51"/>
        <v>0</v>
      </c>
      <c r="L350" s="2607">
        <f t="shared" si="51"/>
        <v>0</v>
      </c>
      <c r="M350" s="1018"/>
      <c r="N350" s="1018"/>
    </row>
    <row r="351" spans="1:14" hidden="1" x14ac:dyDescent="0.2">
      <c r="A351" s="465" t="s">
        <v>380</v>
      </c>
      <c r="B351" s="156">
        <v>968</v>
      </c>
      <c r="C351" s="156">
        <v>503</v>
      </c>
      <c r="D351" s="156" t="s">
        <v>455</v>
      </c>
      <c r="E351" s="156">
        <v>599</v>
      </c>
      <c r="F351" s="479"/>
      <c r="G351" s="479">
        <v>200</v>
      </c>
      <c r="H351" s="2607">
        <f t="shared" si="51"/>
        <v>0</v>
      </c>
      <c r="I351" s="2607">
        <f t="shared" si="51"/>
        <v>0</v>
      </c>
      <c r="J351" s="2631">
        <f t="shared" si="51"/>
        <v>0</v>
      </c>
      <c r="K351" s="2607">
        <f t="shared" si="51"/>
        <v>0</v>
      </c>
      <c r="L351" s="2607">
        <f t="shared" si="51"/>
        <v>0</v>
      </c>
      <c r="M351" s="1018"/>
      <c r="N351" s="1018"/>
    </row>
    <row r="352" spans="1:14" hidden="1" x14ac:dyDescent="0.2">
      <c r="A352" s="468" t="s">
        <v>383</v>
      </c>
      <c r="B352" s="475">
        <v>968</v>
      </c>
      <c r="C352" s="475">
        <v>503</v>
      </c>
      <c r="D352" s="475" t="s">
        <v>455</v>
      </c>
      <c r="E352" s="475">
        <v>599</v>
      </c>
      <c r="F352" s="481"/>
      <c r="G352" s="481">
        <v>226</v>
      </c>
      <c r="H352" s="2609">
        <f t="shared" ref="H352:H357" si="52">SUM(I352:L352)</f>
        <v>0</v>
      </c>
      <c r="I352" s="2609">
        <v>0</v>
      </c>
      <c r="J352" s="2630">
        <v>0</v>
      </c>
      <c r="K352" s="2609">
        <v>0</v>
      </c>
      <c r="L352" s="2609">
        <v>0</v>
      </c>
      <c r="M352" s="1018"/>
      <c r="N352" s="1018"/>
    </row>
    <row r="353" spans="1:14" x14ac:dyDescent="0.2">
      <c r="A353" s="465" t="s">
        <v>384</v>
      </c>
      <c r="B353" s="156">
        <v>968</v>
      </c>
      <c r="C353" s="156">
        <v>503</v>
      </c>
      <c r="D353" s="156" t="s">
        <v>455</v>
      </c>
      <c r="E353" s="156">
        <v>500</v>
      </c>
      <c r="F353" s="479">
        <v>244</v>
      </c>
      <c r="G353" s="755">
        <v>300</v>
      </c>
      <c r="H353" s="1802">
        <f t="shared" si="52"/>
        <v>1552.865</v>
      </c>
      <c r="I353" s="1802">
        <f>I354</f>
        <v>0</v>
      </c>
      <c r="J353" s="2663">
        <f>J354</f>
        <v>81.599999999999994</v>
      </c>
      <c r="K353" s="1802">
        <f>K354</f>
        <v>1471.2650000000001</v>
      </c>
      <c r="L353" s="1802">
        <f>L354</f>
        <v>0</v>
      </c>
      <c r="M353" s="1018"/>
      <c r="N353" s="1018"/>
    </row>
    <row r="354" spans="1:14" x14ac:dyDescent="0.2">
      <c r="A354" s="468" t="s">
        <v>279</v>
      </c>
      <c r="B354" s="475">
        <v>968</v>
      </c>
      <c r="C354" s="475">
        <v>503</v>
      </c>
      <c r="D354" s="475" t="s">
        <v>455</v>
      </c>
      <c r="E354" s="475">
        <v>500</v>
      </c>
      <c r="F354" s="481">
        <v>244</v>
      </c>
      <c r="G354" s="481">
        <v>310</v>
      </c>
      <c r="H354" s="1802">
        <f t="shared" si="52"/>
        <v>1552.865</v>
      </c>
      <c r="I354" s="1802">
        <v>0</v>
      </c>
      <c r="J354" s="2663">
        <f>100-18.4</f>
        <v>81.599999999999994</v>
      </c>
      <c r="K354" s="1802">
        <f>1786.747-307.728-7.754</f>
        <v>1471.2650000000001</v>
      </c>
      <c r="L354" s="1802">
        <v>0</v>
      </c>
      <c r="M354" s="1018"/>
      <c r="N354" s="1018"/>
    </row>
    <row r="355" spans="1:14" ht="36" customHeight="1" x14ac:dyDescent="0.2">
      <c r="A355" s="2972" t="s">
        <v>1475</v>
      </c>
      <c r="B355" s="2973">
        <v>968</v>
      </c>
      <c r="C355" s="2973">
        <v>503</v>
      </c>
      <c r="D355" s="2973" t="s">
        <v>457</v>
      </c>
      <c r="E355" s="2973"/>
      <c r="F355" s="2974"/>
      <c r="G355" s="2974"/>
      <c r="H355" s="2975">
        <f t="shared" si="52"/>
        <v>1852.972</v>
      </c>
      <c r="I355" s="2975">
        <f t="shared" ref="I355:L356" si="53">I356</f>
        <v>90</v>
      </c>
      <c r="J355" s="2975">
        <f t="shared" si="53"/>
        <v>30</v>
      </c>
      <c r="K355" s="2975">
        <f t="shared" si="53"/>
        <v>1702.972</v>
      </c>
      <c r="L355" s="2975">
        <f t="shared" si="53"/>
        <v>30</v>
      </c>
      <c r="M355" s="1018"/>
      <c r="N355" s="1018"/>
    </row>
    <row r="356" spans="1:14" ht="16.5" customHeight="1" x14ac:dyDescent="0.2">
      <c r="A356" s="487" t="s">
        <v>1357</v>
      </c>
      <c r="B356" s="1820">
        <v>968</v>
      </c>
      <c r="C356" s="1820">
        <v>503</v>
      </c>
      <c r="D356" s="1820" t="s">
        <v>457</v>
      </c>
      <c r="E356" s="1820">
        <v>500</v>
      </c>
      <c r="F356" s="1821">
        <v>200</v>
      </c>
      <c r="G356" s="489"/>
      <c r="H356" s="821">
        <f t="shared" si="52"/>
        <v>1852.972</v>
      </c>
      <c r="I356" s="821">
        <f t="shared" si="53"/>
        <v>90</v>
      </c>
      <c r="J356" s="821">
        <f t="shared" si="53"/>
        <v>30</v>
      </c>
      <c r="K356" s="821">
        <f t="shared" si="53"/>
        <v>1702.972</v>
      </c>
      <c r="L356" s="821">
        <f t="shared" si="53"/>
        <v>30</v>
      </c>
      <c r="M356" s="1018"/>
      <c r="N356" s="1018"/>
    </row>
    <row r="357" spans="1:14" x14ac:dyDescent="0.2">
      <c r="A357" s="1278" t="s">
        <v>1201</v>
      </c>
      <c r="B357" s="1285">
        <v>968</v>
      </c>
      <c r="C357" s="1285">
        <v>503</v>
      </c>
      <c r="D357" s="1285" t="s">
        <v>457</v>
      </c>
      <c r="E357" s="1285">
        <v>500</v>
      </c>
      <c r="F357" s="1279">
        <v>244</v>
      </c>
      <c r="G357" s="1279"/>
      <c r="H357" s="1286">
        <f t="shared" si="52"/>
        <v>1852.972</v>
      </c>
      <c r="I357" s="1286">
        <f>I358+I361</f>
        <v>90</v>
      </c>
      <c r="J357" s="1286">
        <f>J358+J361</f>
        <v>30</v>
      </c>
      <c r="K357" s="1286">
        <f>K358+K361</f>
        <v>1702.972</v>
      </c>
      <c r="L357" s="1286">
        <f>L358+L361</f>
        <v>30</v>
      </c>
      <c r="M357" s="1018"/>
      <c r="N357" s="1018"/>
    </row>
    <row r="358" spans="1:14" x14ac:dyDescent="0.2">
      <c r="A358" s="465" t="s">
        <v>380</v>
      </c>
      <c r="B358" s="156">
        <v>968</v>
      </c>
      <c r="C358" s="156">
        <v>503</v>
      </c>
      <c r="D358" s="156" t="s">
        <v>457</v>
      </c>
      <c r="E358" s="156">
        <v>500</v>
      </c>
      <c r="F358" s="479">
        <v>244</v>
      </c>
      <c r="G358" s="479">
        <v>200</v>
      </c>
      <c r="H358" s="1804">
        <f>SUM(H359:H360)</f>
        <v>400</v>
      </c>
      <c r="I358" s="1804">
        <f>SUM(I359:I360)</f>
        <v>90</v>
      </c>
      <c r="J358" s="1804">
        <f>SUM(J359:J360)</f>
        <v>30</v>
      </c>
      <c r="K358" s="1804">
        <f>SUM(K359:K360)</f>
        <v>250</v>
      </c>
      <c r="L358" s="1804">
        <f>SUM(L359:L360)</f>
        <v>30</v>
      </c>
      <c r="M358" s="1018"/>
      <c r="N358" s="1018"/>
    </row>
    <row r="359" spans="1:14" x14ac:dyDescent="0.2">
      <c r="A359" s="468" t="s">
        <v>382</v>
      </c>
      <c r="B359" s="475">
        <v>968</v>
      </c>
      <c r="C359" s="475">
        <v>503</v>
      </c>
      <c r="D359" s="475" t="s">
        <v>457</v>
      </c>
      <c r="E359" s="475">
        <v>500</v>
      </c>
      <c r="F359" s="481">
        <v>244</v>
      </c>
      <c r="G359" s="481">
        <v>225</v>
      </c>
      <c r="H359" s="1802">
        <f>SUM(I359:L359)</f>
        <v>280</v>
      </c>
      <c r="I359" s="1802">
        <f>60</f>
        <v>60</v>
      </c>
      <c r="J359" s="2663">
        <f>110-110</f>
        <v>0</v>
      </c>
      <c r="K359" s="1802">
        <f>110+110</f>
        <v>220</v>
      </c>
      <c r="L359" s="1802">
        <v>0</v>
      </c>
      <c r="M359" s="1018"/>
      <c r="N359" s="1018"/>
    </row>
    <row r="360" spans="1:14" x14ac:dyDescent="0.2">
      <c r="A360" s="468" t="s">
        <v>383</v>
      </c>
      <c r="B360" s="475">
        <v>968</v>
      </c>
      <c r="C360" s="475">
        <v>503</v>
      </c>
      <c r="D360" s="475" t="s">
        <v>457</v>
      </c>
      <c r="E360" s="475">
        <v>500</v>
      </c>
      <c r="F360" s="481">
        <v>244</v>
      </c>
      <c r="G360" s="481">
        <v>226</v>
      </c>
      <c r="H360" s="1802">
        <f>SUM(I360:L360)</f>
        <v>120</v>
      </c>
      <c r="I360" s="1802">
        <v>30</v>
      </c>
      <c r="J360" s="2663">
        <v>30</v>
      </c>
      <c r="K360" s="1802">
        <v>30</v>
      </c>
      <c r="L360" s="1802">
        <v>30</v>
      </c>
      <c r="M360" s="1018"/>
      <c r="N360" s="1018"/>
    </row>
    <row r="361" spans="1:14" ht="17.25" customHeight="1" x14ac:dyDescent="0.2">
      <c r="A361" s="465" t="s">
        <v>384</v>
      </c>
      <c r="B361" s="156">
        <v>968</v>
      </c>
      <c r="C361" s="156">
        <v>503</v>
      </c>
      <c r="D361" s="156" t="s">
        <v>457</v>
      </c>
      <c r="E361" s="156">
        <v>500</v>
      </c>
      <c r="F361" s="479">
        <v>244</v>
      </c>
      <c r="G361" s="755">
        <v>300</v>
      </c>
      <c r="H361" s="2665">
        <f>SUM(I361:L361)</f>
        <v>1452.972</v>
      </c>
      <c r="I361" s="2665">
        <f>I362</f>
        <v>0</v>
      </c>
      <c r="J361" s="2666">
        <f>J362</f>
        <v>0</v>
      </c>
      <c r="K361" s="2665">
        <f>K362</f>
        <v>1452.972</v>
      </c>
      <c r="L361" s="2665">
        <f>L362</f>
        <v>0</v>
      </c>
      <c r="M361" s="1018"/>
      <c r="N361" s="1018"/>
    </row>
    <row r="362" spans="1:14" ht="15.75" customHeight="1" x14ac:dyDescent="0.2">
      <c r="A362" s="468" t="s">
        <v>279</v>
      </c>
      <c r="B362" s="475">
        <v>968</v>
      </c>
      <c r="C362" s="475">
        <v>503</v>
      </c>
      <c r="D362" s="475" t="s">
        <v>457</v>
      </c>
      <c r="E362" s="475">
        <v>500</v>
      </c>
      <c r="F362" s="481">
        <v>244</v>
      </c>
      <c r="G362" s="481">
        <v>310</v>
      </c>
      <c r="H362" s="2667">
        <f>SUM(I362:L362)</f>
        <v>1452.972</v>
      </c>
      <c r="I362" s="2667">
        <v>0</v>
      </c>
      <c r="J362" s="2668">
        <v>0</v>
      </c>
      <c r="K362" s="2667">
        <f>273.738+1179.234</f>
        <v>1452.972</v>
      </c>
      <c r="L362" s="2667">
        <v>0</v>
      </c>
      <c r="M362" s="1018"/>
      <c r="N362" s="1018"/>
    </row>
    <row r="363" spans="1:14" ht="25.5" customHeight="1" x14ac:dyDescent="0.2">
      <c r="A363" s="1770" t="s">
        <v>1153</v>
      </c>
      <c r="B363" s="166">
        <v>968</v>
      </c>
      <c r="C363" s="166">
        <v>503</v>
      </c>
      <c r="D363" s="166" t="s">
        <v>461</v>
      </c>
      <c r="E363" s="166"/>
      <c r="F363" s="482"/>
      <c r="G363" s="482"/>
      <c r="H363" s="832">
        <f>H364+H371+H375</f>
        <v>198.17000000000002</v>
      </c>
      <c r="I363" s="832">
        <f>I364+I371+I375</f>
        <v>0</v>
      </c>
      <c r="J363" s="832">
        <f>J364+J371+J375</f>
        <v>74.471000000000004</v>
      </c>
      <c r="K363" s="832">
        <f>K364+K371+K375</f>
        <v>123.699</v>
      </c>
      <c r="L363" s="832">
        <f>L364+L371+L375</f>
        <v>0</v>
      </c>
      <c r="M363" s="1018"/>
      <c r="N363" s="1018"/>
    </row>
    <row r="364" spans="1:14" ht="15.75" hidden="1" customHeight="1" x14ac:dyDescent="0.2">
      <c r="A364" s="490" t="s">
        <v>517</v>
      </c>
      <c r="B364" s="159">
        <v>968</v>
      </c>
      <c r="C364" s="159">
        <v>503</v>
      </c>
      <c r="D364" s="159" t="s">
        <v>518</v>
      </c>
      <c r="E364" s="159"/>
      <c r="F364" s="489"/>
      <c r="G364" s="489"/>
      <c r="H364" s="821">
        <f t="shared" ref="H364:H370" si="54">SUM(I364:L364)</f>
        <v>0</v>
      </c>
      <c r="I364" s="821">
        <f t="shared" ref="I364:L365" si="55">I365</f>
        <v>0</v>
      </c>
      <c r="J364" s="821">
        <f t="shared" si="55"/>
        <v>0</v>
      </c>
      <c r="K364" s="821">
        <f t="shared" si="55"/>
        <v>0</v>
      </c>
      <c r="L364" s="821">
        <f t="shared" si="55"/>
        <v>0</v>
      </c>
      <c r="M364" s="1018"/>
      <c r="N364" s="1018"/>
    </row>
    <row r="365" spans="1:14" ht="15.75" hidden="1" customHeight="1" x14ac:dyDescent="0.2">
      <c r="A365" s="487" t="s">
        <v>1357</v>
      </c>
      <c r="B365" s="1820">
        <v>968</v>
      </c>
      <c r="C365" s="1820">
        <v>503</v>
      </c>
      <c r="D365" s="1820" t="s">
        <v>518</v>
      </c>
      <c r="E365" s="1820">
        <v>500</v>
      </c>
      <c r="F365" s="1821">
        <v>200</v>
      </c>
      <c r="G365" s="489"/>
      <c r="H365" s="821">
        <f>SUM(I365:L365)</f>
        <v>0</v>
      </c>
      <c r="I365" s="821">
        <f t="shared" si="55"/>
        <v>0</v>
      </c>
      <c r="J365" s="821">
        <f t="shared" si="55"/>
        <v>0</v>
      </c>
      <c r="K365" s="821">
        <f t="shared" si="55"/>
        <v>0</v>
      </c>
      <c r="L365" s="821">
        <f t="shared" si="55"/>
        <v>0</v>
      </c>
      <c r="M365" s="1018"/>
      <c r="N365" s="1018"/>
    </row>
    <row r="366" spans="1:14" hidden="1" x14ac:dyDescent="0.2">
      <c r="A366" s="1278" t="s">
        <v>1201</v>
      </c>
      <c r="B366" s="1285">
        <v>968</v>
      </c>
      <c r="C366" s="1285">
        <v>503</v>
      </c>
      <c r="D366" s="1285" t="s">
        <v>518</v>
      </c>
      <c r="E366" s="1285">
        <v>500</v>
      </c>
      <c r="F366" s="1279">
        <v>244</v>
      </c>
      <c r="G366" s="1279"/>
      <c r="H366" s="1286">
        <f t="shared" si="54"/>
        <v>0</v>
      </c>
      <c r="I366" s="1286">
        <f>I367+I369</f>
        <v>0</v>
      </c>
      <c r="J366" s="1286">
        <f>J367+J369</f>
        <v>0</v>
      </c>
      <c r="K366" s="1286">
        <f>K367+K369</f>
        <v>0</v>
      </c>
      <c r="L366" s="1286">
        <f>L367+L369</f>
        <v>0</v>
      </c>
      <c r="M366" s="1018"/>
      <c r="N366" s="1018"/>
    </row>
    <row r="367" spans="1:14" hidden="1" x14ac:dyDescent="0.2">
      <c r="A367" s="465" t="s">
        <v>380</v>
      </c>
      <c r="B367" s="156">
        <v>968</v>
      </c>
      <c r="C367" s="156">
        <v>503</v>
      </c>
      <c r="D367" s="156" t="s">
        <v>518</v>
      </c>
      <c r="E367" s="156">
        <v>500</v>
      </c>
      <c r="F367" s="479">
        <v>244</v>
      </c>
      <c r="G367" s="479">
        <v>200</v>
      </c>
      <c r="H367" s="1804">
        <f t="shared" si="54"/>
        <v>0</v>
      </c>
      <c r="I367" s="1804">
        <f>I368</f>
        <v>0</v>
      </c>
      <c r="J367" s="2664">
        <f>J368</f>
        <v>0</v>
      </c>
      <c r="K367" s="1804">
        <f>K368</f>
        <v>0</v>
      </c>
      <c r="L367" s="1804">
        <f>L368</f>
        <v>0</v>
      </c>
      <c r="M367" s="1018"/>
      <c r="N367" s="1018"/>
    </row>
    <row r="368" spans="1:14" hidden="1" x14ac:dyDescent="0.2">
      <c r="A368" s="468" t="s">
        <v>383</v>
      </c>
      <c r="B368" s="475">
        <v>968</v>
      </c>
      <c r="C368" s="475">
        <v>503</v>
      </c>
      <c r="D368" s="475" t="s">
        <v>518</v>
      </c>
      <c r="E368" s="475">
        <v>500</v>
      </c>
      <c r="F368" s="481">
        <v>244</v>
      </c>
      <c r="G368" s="481">
        <v>226</v>
      </c>
      <c r="H368" s="1802">
        <f t="shared" si="54"/>
        <v>0</v>
      </c>
      <c r="I368" s="1802">
        <v>0</v>
      </c>
      <c r="J368" s="2663">
        <f>5.4-5.4</f>
        <v>0</v>
      </c>
      <c r="K368" s="1802">
        <v>0</v>
      </c>
      <c r="L368" s="1802">
        <v>0</v>
      </c>
      <c r="M368" s="1018"/>
      <c r="N368" s="1018"/>
    </row>
    <row r="369" spans="1:14" hidden="1" x14ac:dyDescent="0.2">
      <c r="A369" s="465" t="s">
        <v>384</v>
      </c>
      <c r="B369" s="156">
        <v>968</v>
      </c>
      <c r="C369" s="156">
        <v>503</v>
      </c>
      <c r="D369" s="156" t="s">
        <v>518</v>
      </c>
      <c r="E369" s="156">
        <v>500</v>
      </c>
      <c r="F369" s="479">
        <v>244</v>
      </c>
      <c r="G369" s="755">
        <v>300</v>
      </c>
      <c r="H369" s="2669">
        <f t="shared" si="54"/>
        <v>0</v>
      </c>
      <c r="I369" s="2669">
        <f>I370</f>
        <v>0</v>
      </c>
      <c r="J369" s="2670">
        <f>J370</f>
        <v>0</v>
      </c>
      <c r="K369" s="2669">
        <f>K370</f>
        <v>0</v>
      </c>
      <c r="L369" s="2669">
        <f>L370</f>
        <v>0</v>
      </c>
      <c r="M369" s="1018"/>
      <c r="N369" s="1018"/>
    </row>
    <row r="370" spans="1:14" hidden="1" x14ac:dyDescent="0.2">
      <c r="A370" s="468" t="s">
        <v>279</v>
      </c>
      <c r="B370" s="475">
        <v>968</v>
      </c>
      <c r="C370" s="475">
        <v>503</v>
      </c>
      <c r="D370" s="475" t="s">
        <v>518</v>
      </c>
      <c r="E370" s="475">
        <v>500</v>
      </c>
      <c r="F370" s="481">
        <v>244</v>
      </c>
      <c r="G370" s="481">
        <v>310</v>
      </c>
      <c r="H370" s="1802">
        <f t="shared" si="54"/>
        <v>0</v>
      </c>
      <c r="I370" s="1802">
        <v>0</v>
      </c>
      <c r="J370" s="2663">
        <f>300-96.804-203.196</f>
        <v>0</v>
      </c>
      <c r="K370" s="1802">
        <v>0</v>
      </c>
      <c r="L370" s="1802">
        <v>0</v>
      </c>
      <c r="M370" s="1018"/>
      <c r="N370" s="1018"/>
    </row>
    <row r="371" spans="1:14" ht="14.25" hidden="1" customHeight="1" x14ac:dyDescent="0.2">
      <c r="A371" s="490" t="s">
        <v>519</v>
      </c>
      <c r="B371" s="463">
        <v>968</v>
      </c>
      <c r="C371" s="463">
        <v>503</v>
      </c>
      <c r="D371" s="463" t="str">
        <f>D372</f>
        <v>600 02 03</v>
      </c>
      <c r="E371" s="463"/>
      <c r="F371" s="491"/>
      <c r="G371" s="491"/>
      <c r="H371" s="2671">
        <f t="shared" ref="H371:L373" si="56">H372</f>
        <v>0</v>
      </c>
      <c r="I371" s="2671">
        <f t="shared" si="56"/>
        <v>0</v>
      </c>
      <c r="J371" s="2672">
        <f t="shared" ref="J371:K373" si="57">J372</f>
        <v>0</v>
      </c>
      <c r="K371" s="2671">
        <f t="shared" si="57"/>
        <v>0</v>
      </c>
      <c r="L371" s="2671">
        <f t="shared" si="56"/>
        <v>0</v>
      </c>
      <c r="M371" s="1018"/>
      <c r="N371" s="1018"/>
    </row>
    <row r="372" spans="1:14" ht="12.75" hidden="1" customHeight="1" x14ac:dyDescent="0.2">
      <c r="A372" s="1278" t="s">
        <v>1201</v>
      </c>
      <c r="B372" s="1285">
        <v>968</v>
      </c>
      <c r="C372" s="1285">
        <v>503</v>
      </c>
      <c r="D372" s="1285" t="str">
        <f>D373</f>
        <v>600 02 03</v>
      </c>
      <c r="E372" s="1285">
        <v>500</v>
      </c>
      <c r="F372" s="1279">
        <v>244</v>
      </c>
      <c r="G372" s="1279"/>
      <c r="H372" s="1286">
        <f t="shared" si="56"/>
        <v>0</v>
      </c>
      <c r="I372" s="1286">
        <f t="shared" si="56"/>
        <v>0</v>
      </c>
      <c r="J372" s="2662">
        <f t="shared" si="57"/>
        <v>0</v>
      </c>
      <c r="K372" s="1286">
        <f t="shared" si="57"/>
        <v>0</v>
      </c>
      <c r="L372" s="1286">
        <f t="shared" si="56"/>
        <v>0</v>
      </c>
      <c r="M372" s="1018"/>
      <c r="N372" s="1018"/>
    </row>
    <row r="373" spans="1:14" hidden="1" x14ac:dyDescent="0.2">
      <c r="A373" s="465" t="s">
        <v>380</v>
      </c>
      <c r="B373" s="156">
        <v>968</v>
      </c>
      <c r="C373" s="156">
        <v>503</v>
      </c>
      <c r="D373" s="156" t="str">
        <f>D374</f>
        <v>600 02 03</v>
      </c>
      <c r="E373" s="156">
        <v>500</v>
      </c>
      <c r="F373" s="479">
        <v>244</v>
      </c>
      <c r="G373" s="479">
        <v>200</v>
      </c>
      <c r="H373" s="1804">
        <f t="shared" si="56"/>
        <v>0</v>
      </c>
      <c r="I373" s="1804">
        <f t="shared" si="56"/>
        <v>0</v>
      </c>
      <c r="J373" s="2664">
        <f t="shared" si="57"/>
        <v>0</v>
      </c>
      <c r="K373" s="1804">
        <f t="shared" si="57"/>
        <v>0</v>
      </c>
      <c r="L373" s="1804">
        <f t="shared" si="56"/>
        <v>0</v>
      </c>
      <c r="M373" s="1018"/>
      <c r="N373" s="1018"/>
    </row>
    <row r="374" spans="1:14" hidden="1" x14ac:dyDescent="0.2">
      <c r="A374" s="468" t="s">
        <v>383</v>
      </c>
      <c r="B374" s="475">
        <v>968</v>
      </c>
      <c r="C374" s="475">
        <v>503</v>
      </c>
      <c r="D374" s="475" t="s">
        <v>430</v>
      </c>
      <c r="E374" s="475">
        <v>500</v>
      </c>
      <c r="F374" s="481">
        <v>244</v>
      </c>
      <c r="G374" s="481">
        <v>226</v>
      </c>
      <c r="H374" s="1802">
        <f>SUM(I374:L374)</f>
        <v>0</v>
      </c>
      <c r="I374" s="1802">
        <v>0</v>
      </c>
      <c r="J374" s="2663">
        <f>250-250</f>
        <v>0</v>
      </c>
      <c r="K374" s="1802">
        <v>0</v>
      </c>
      <c r="L374" s="1802">
        <v>0</v>
      </c>
      <c r="M374" s="1018"/>
      <c r="N374" s="1018"/>
    </row>
    <row r="375" spans="1:14" ht="27" customHeight="1" x14ac:dyDescent="0.2">
      <c r="A375" s="2972" t="s">
        <v>1474</v>
      </c>
      <c r="B375" s="2973">
        <v>968</v>
      </c>
      <c r="C375" s="2973">
        <v>503</v>
      </c>
      <c r="D375" s="2973" t="str">
        <f>D377</f>
        <v>600 02 04</v>
      </c>
      <c r="E375" s="2973"/>
      <c r="F375" s="2974"/>
      <c r="G375" s="2974"/>
      <c r="H375" s="2975">
        <f>H377</f>
        <v>198.17000000000002</v>
      </c>
      <c r="I375" s="2975">
        <f t="shared" ref="I375:L376" si="58">I376</f>
        <v>0</v>
      </c>
      <c r="J375" s="2975">
        <f t="shared" si="58"/>
        <v>74.471000000000004</v>
      </c>
      <c r="K375" s="2975">
        <f t="shared" si="58"/>
        <v>123.699</v>
      </c>
      <c r="L375" s="2975">
        <f t="shared" si="58"/>
        <v>0</v>
      </c>
      <c r="M375" s="1018"/>
      <c r="N375" s="1018"/>
    </row>
    <row r="376" spans="1:14" ht="15" customHeight="1" x14ac:dyDescent="0.2">
      <c r="A376" s="487" t="s">
        <v>1357</v>
      </c>
      <c r="B376" s="1820">
        <v>968</v>
      </c>
      <c r="C376" s="1820">
        <v>503</v>
      </c>
      <c r="D376" s="1820" t="str">
        <f>D377</f>
        <v>600 02 04</v>
      </c>
      <c r="E376" s="1820">
        <v>500</v>
      </c>
      <c r="F376" s="1821">
        <v>200</v>
      </c>
      <c r="G376" s="489"/>
      <c r="H376" s="821">
        <f>SUM(I376:L376)</f>
        <v>198.17000000000002</v>
      </c>
      <c r="I376" s="821">
        <f t="shared" si="58"/>
        <v>0</v>
      </c>
      <c r="J376" s="821">
        <f t="shared" si="58"/>
        <v>74.471000000000004</v>
      </c>
      <c r="K376" s="821">
        <f t="shared" si="58"/>
        <v>123.699</v>
      </c>
      <c r="L376" s="821">
        <f t="shared" si="58"/>
        <v>0</v>
      </c>
      <c r="M376" s="1018"/>
      <c r="N376" s="1018"/>
    </row>
    <row r="377" spans="1:14" ht="15.75" customHeight="1" x14ac:dyDescent="0.2">
      <c r="A377" s="1278" t="s">
        <v>1201</v>
      </c>
      <c r="B377" s="1285">
        <v>968</v>
      </c>
      <c r="C377" s="1285">
        <v>503</v>
      </c>
      <c r="D377" s="1285" t="str">
        <f>D378</f>
        <v>600 02 04</v>
      </c>
      <c r="E377" s="1285">
        <v>500</v>
      </c>
      <c r="F377" s="1279">
        <v>244</v>
      </c>
      <c r="G377" s="1279"/>
      <c r="H377" s="1286">
        <f>H378+H381</f>
        <v>198.17000000000002</v>
      </c>
      <c r="I377" s="1286">
        <f>I378+I381</f>
        <v>0</v>
      </c>
      <c r="J377" s="2662">
        <f>J378+J381</f>
        <v>74.471000000000004</v>
      </c>
      <c r="K377" s="1286">
        <f>K378+K381</f>
        <v>123.699</v>
      </c>
      <c r="L377" s="1286">
        <f>L378+L381</f>
        <v>0</v>
      </c>
      <c r="M377" s="1018"/>
      <c r="N377" s="1018"/>
    </row>
    <row r="378" spans="1:14" x14ac:dyDescent="0.2">
      <c r="A378" s="465" t="s">
        <v>380</v>
      </c>
      <c r="B378" s="156">
        <v>968</v>
      </c>
      <c r="C378" s="156">
        <v>503</v>
      </c>
      <c r="D378" s="156" t="str">
        <f>D380</f>
        <v>600 02 04</v>
      </c>
      <c r="E378" s="156">
        <v>500</v>
      </c>
      <c r="F378" s="479">
        <v>244</v>
      </c>
      <c r="G378" s="479">
        <v>200</v>
      </c>
      <c r="H378" s="1804">
        <f>SUM(H379:H380)</f>
        <v>150</v>
      </c>
      <c r="I378" s="1804">
        <f>SUM(I379:I380)</f>
        <v>0</v>
      </c>
      <c r="J378" s="1804">
        <f>SUM(J379:J380)</f>
        <v>26.301000000000002</v>
      </c>
      <c r="K378" s="1804">
        <f>SUM(K379:K380)</f>
        <v>123.699</v>
      </c>
      <c r="L378" s="1804">
        <f>SUM(L379:L380)</f>
        <v>0</v>
      </c>
      <c r="M378" s="1018"/>
      <c r="N378" s="1018"/>
    </row>
    <row r="379" spans="1:14" hidden="1" x14ac:dyDescent="0.2">
      <c r="A379" s="468" t="s">
        <v>382</v>
      </c>
      <c r="B379" s="475">
        <v>968</v>
      </c>
      <c r="C379" s="475">
        <v>503</v>
      </c>
      <c r="D379" s="475" t="str">
        <f>D380</f>
        <v>600 02 04</v>
      </c>
      <c r="E379" s="475">
        <v>500</v>
      </c>
      <c r="F379" s="481">
        <v>244</v>
      </c>
      <c r="G379" s="481">
        <v>225</v>
      </c>
      <c r="H379" s="1804">
        <f>SUM(I379:L379)</f>
        <v>0</v>
      </c>
      <c r="I379" s="1804">
        <v>0</v>
      </c>
      <c r="J379" s="2664">
        <v>0</v>
      </c>
      <c r="K379" s="1804">
        <v>0</v>
      </c>
      <c r="L379" s="1804">
        <v>0</v>
      </c>
      <c r="M379" s="1018"/>
      <c r="N379" s="1018"/>
    </row>
    <row r="380" spans="1:14" x14ac:dyDescent="0.2">
      <c r="A380" s="468" t="s">
        <v>383</v>
      </c>
      <c r="B380" s="475">
        <v>968</v>
      </c>
      <c r="C380" s="475">
        <v>503</v>
      </c>
      <c r="D380" s="475" t="str">
        <f>D381</f>
        <v>600 02 04</v>
      </c>
      <c r="E380" s="475">
        <v>500</v>
      </c>
      <c r="F380" s="481">
        <v>244</v>
      </c>
      <c r="G380" s="481">
        <v>226</v>
      </c>
      <c r="H380" s="1802">
        <f>SUM(I380:L380)</f>
        <v>150</v>
      </c>
      <c r="I380" s="1802">
        <v>0</v>
      </c>
      <c r="J380" s="2663">
        <f>50+100-75-48.699</f>
        <v>26.301000000000002</v>
      </c>
      <c r="K380" s="1802">
        <f>100+50-75+48.699</f>
        <v>123.699</v>
      </c>
      <c r="L380" s="1802">
        <f>150-150</f>
        <v>0</v>
      </c>
      <c r="M380" s="1018"/>
      <c r="N380" s="1018"/>
    </row>
    <row r="381" spans="1:14" x14ac:dyDescent="0.2">
      <c r="A381" s="465" t="s">
        <v>384</v>
      </c>
      <c r="B381" s="156">
        <v>968</v>
      </c>
      <c r="C381" s="156">
        <v>503</v>
      </c>
      <c r="D381" s="156" t="str">
        <f>D382</f>
        <v>600 02 04</v>
      </c>
      <c r="E381" s="156">
        <v>500</v>
      </c>
      <c r="F381" s="479">
        <v>244</v>
      </c>
      <c r="G381" s="479">
        <v>300</v>
      </c>
      <c r="H381" s="1804">
        <f>H382</f>
        <v>48.17</v>
      </c>
      <c r="I381" s="1804">
        <f>I382</f>
        <v>0</v>
      </c>
      <c r="J381" s="2664">
        <f>J382</f>
        <v>48.17</v>
      </c>
      <c r="K381" s="1804">
        <f>K382</f>
        <v>0</v>
      </c>
      <c r="L381" s="1804">
        <f>L382</f>
        <v>0</v>
      </c>
      <c r="M381" s="1018"/>
      <c r="N381" s="1018"/>
    </row>
    <row r="382" spans="1:14" x14ac:dyDescent="0.2">
      <c r="A382" s="468" t="s">
        <v>280</v>
      </c>
      <c r="B382" s="475">
        <v>968</v>
      </c>
      <c r="C382" s="475">
        <v>503</v>
      </c>
      <c r="D382" s="475" t="s">
        <v>1154</v>
      </c>
      <c r="E382" s="475">
        <v>500</v>
      </c>
      <c r="F382" s="481">
        <v>244</v>
      </c>
      <c r="G382" s="481">
        <v>340</v>
      </c>
      <c r="H382" s="1802">
        <f>SUM(I382:L382)</f>
        <v>48.17</v>
      </c>
      <c r="I382" s="1802">
        <f>100-100</f>
        <v>0</v>
      </c>
      <c r="J382" s="2663">
        <f>50-1.83</f>
        <v>48.17</v>
      </c>
      <c r="K382" s="1802">
        <f>100-100</f>
        <v>0</v>
      </c>
      <c r="L382" s="1802">
        <f>50-50</f>
        <v>0</v>
      </c>
      <c r="M382" s="1018"/>
      <c r="N382" s="1018"/>
    </row>
    <row r="383" spans="1:14" ht="14.25" customHeight="1" x14ac:dyDescent="0.2">
      <c r="A383" s="487" t="s">
        <v>793</v>
      </c>
      <c r="B383" s="166">
        <v>968</v>
      </c>
      <c r="C383" s="166">
        <v>503</v>
      </c>
      <c r="D383" s="166" t="s">
        <v>794</v>
      </c>
      <c r="E383" s="166"/>
      <c r="F383" s="482"/>
      <c r="G383" s="482"/>
      <c r="H383" s="832">
        <f>H384+H394+H406+H401</f>
        <v>7891.9740000000011</v>
      </c>
      <c r="I383" s="832">
        <f>I384+I394+I406+I401</f>
        <v>207.39800000000002</v>
      </c>
      <c r="J383" s="832">
        <f>J384+J394+J406+J401</f>
        <v>1373.4310000000003</v>
      </c>
      <c r="K383" s="832">
        <f>K384+K394+K406+K401</f>
        <v>5818.6820000000007</v>
      </c>
      <c r="L383" s="832">
        <f>L384+L394+L406+L401</f>
        <v>492.46299999999997</v>
      </c>
      <c r="M383" s="1018"/>
      <c r="N383" s="1018"/>
    </row>
    <row r="384" spans="1:14" ht="21.75" customHeight="1" x14ac:dyDescent="0.2">
      <c r="A384" s="490" t="s">
        <v>1476</v>
      </c>
      <c r="B384" s="159">
        <v>968</v>
      </c>
      <c r="C384" s="159">
        <v>503</v>
      </c>
      <c r="D384" s="159" t="s">
        <v>791</v>
      </c>
      <c r="E384" s="159"/>
      <c r="F384" s="489"/>
      <c r="G384" s="489"/>
      <c r="H384" s="821">
        <f>SUM(I384:L384)</f>
        <v>7445.0240000000013</v>
      </c>
      <c r="I384" s="821">
        <f t="shared" ref="I384:L385" si="59">I385</f>
        <v>207.39800000000002</v>
      </c>
      <c r="J384" s="821">
        <f t="shared" si="59"/>
        <v>1076.4810000000002</v>
      </c>
      <c r="K384" s="821">
        <f t="shared" si="59"/>
        <v>5818.6820000000007</v>
      </c>
      <c r="L384" s="821">
        <f t="shared" si="59"/>
        <v>342.46299999999997</v>
      </c>
      <c r="M384" s="1018"/>
      <c r="N384" s="1018"/>
    </row>
    <row r="385" spans="1:14" ht="15.75" customHeight="1" x14ac:dyDescent="0.2">
      <c r="A385" s="487" t="s">
        <v>1357</v>
      </c>
      <c r="B385" s="1820">
        <v>968</v>
      </c>
      <c r="C385" s="1820">
        <v>503</v>
      </c>
      <c r="D385" s="1820" t="s">
        <v>791</v>
      </c>
      <c r="E385" s="1820">
        <v>500</v>
      </c>
      <c r="F385" s="1821">
        <v>200</v>
      </c>
      <c r="G385" s="489"/>
      <c r="H385" s="821">
        <f>SUM(I385:L385)</f>
        <v>7445.0240000000013</v>
      </c>
      <c r="I385" s="821">
        <f t="shared" si="59"/>
        <v>207.39800000000002</v>
      </c>
      <c r="J385" s="821">
        <f t="shared" si="59"/>
        <v>1076.4810000000002</v>
      </c>
      <c r="K385" s="821">
        <f t="shared" si="59"/>
        <v>5818.6820000000007</v>
      </c>
      <c r="L385" s="821">
        <f t="shared" si="59"/>
        <v>342.46299999999997</v>
      </c>
      <c r="M385" s="1018"/>
      <c r="N385" s="1018"/>
    </row>
    <row r="386" spans="1:14" ht="13.5" customHeight="1" x14ac:dyDescent="0.2">
      <c r="A386" s="1278" t="s">
        <v>1201</v>
      </c>
      <c r="B386" s="1285">
        <v>968</v>
      </c>
      <c r="C386" s="1285">
        <v>503</v>
      </c>
      <c r="D386" s="1285" t="s">
        <v>791</v>
      </c>
      <c r="E386" s="1285">
        <v>500</v>
      </c>
      <c r="F386" s="1279">
        <v>244</v>
      </c>
      <c r="G386" s="1279"/>
      <c r="H386" s="1286">
        <f>SUM(I386:L386)</f>
        <v>7445.0240000000013</v>
      </c>
      <c r="I386" s="1286">
        <f>I387+I392</f>
        <v>207.39800000000002</v>
      </c>
      <c r="J386" s="2662">
        <f t="shared" ref="J386:L387" si="60">J387</f>
        <v>1076.4810000000002</v>
      </c>
      <c r="K386" s="1286">
        <f t="shared" si="60"/>
        <v>5818.6820000000007</v>
      </c>
      <c r="L386" s="1286">
        <f t="shared" si="60"/>
        <v>342.46299999999997</v>
      </c>
      <c r="M386" s="1018"/>
      <c r="N386" s="1018"/>
    </row>
    <row r="387" spans="1:14" x14ac:dyDescent="0.2">
      <c r="A387" s="465" t="s">
        <v>380</v>
      </c>
      <c r="B387" s="156">
        <v>968</v>
      </c>
      <c r="C387" s="156">
        <v>503</v>
      </c>
      <c r="D387" s="156" t="s">
        <v>791</v>
      </c>
      <c r="E387" s="156">
        <v>500</v>
      </c>
      <c r="F387" s="479">
        <v>244</v>
      </c>
      <c r="G387" s="479">
        <v>200</v>
      </c>
      <c r="H387" s="1804">
        <f>SUM(I387:L387)</f>
        <v>7445.0240000000013</v>
      </c>
      <c r="I387" s="1804">
        <f>I388</f>
        <v>207.39800000000002</v>
      </c>
      <c r="J387" s="2664">
        <f t="shared" si="60"/>
        <v>1076.4810000000002</v>
      </c>
      <c r="K387" s="1804">
        <f t="shared" si="60"/>
        <v>5818.6820000000007</v>
      </c>
      <c r="L387" s="1804">
        <f t="shared" si="60"/>
        <v>342.46299999999997</v>
      </c>
      <c r="M387" s="1018"/>
      <c r="N387" s="1018"/>
    </row>
    <row r="388" spans="1:14" ht="15.75" customHeight="1" x14ac:dyDescent="0.2">
      <c r="A388" s="468" t="s">
        <v>383</v>
      </c>
      <c r="B388" s="475">
        <v>968</v>
      </c>
      <c r="C388" s="475">
        <v>503</v>
      </c>
      <c r="D388" s="475" t="s">
        <v>791</v>
      </c>
      <c r="E388" s="475">
        <v>500</v>
      </c>
      <c r="F388" s="481">
        <v>244</v>
      </c>
      <c r="G388" s="481">
        <v>226</v>
      </c>
      <c r="H388" s="1802">
        <f>SUM(I388:L388)</f>
        <v>7445.0240000000013</v>
      </c>
      <c r="I388" s="1802">
        <f>467.983-260.585</f>
        <v>207.39800000000002</v>
      </c>
      <c r="J388" s="2663">
        <f>2500+231.693-380.533-73.764-1200.915</f>
        <v>1076.4810000000002</v>
      </c>
      <c r="K388" s="1802">
        <f>3021.383+1334.447+380.819-36.718+1118.751</f>
        <v>5818.6820000000007</v>
      </c>
      <c r="L388" s="1802">
        <f>260.299+82.164</f>
        <v>342.46299999999997</v>
      </c>
      <c r="M388" s="1018"/>
      <c r="N388" s="1018"/>
    </row>
    <row r="389" spans="1:14" ht="36" hidden="1" customHeight="1" x14ac:dyDescent="0.2">
      <c r="A389" s="465" t="s">
        <v>886</v>
      </c>
      <c r="B389" s="156"/>
      <c r="C389" s="156"/>
      <c r="D389" s="156"/>
      <c r="E389" s="156"/>
      <c r="F389" s="479"/>
      <c r="G389" s="479"/>
      <c r="H389" s="2607"/>
      <c r="I389" s="2607"/>
      <c r="J389" s="2631"/>
      <c r="K389" s="2607"/>
      <c r="L389" s="2607"/>
      <c r="M389" s="1018"/>
      <c r="N389" s="1018"/>
    </row>
    <row r="390" spans="1:14" hidden="1" x14ac:dyDescent="0.2">
      <c r="A390" s="465" t="s">
        <v>380</v>
      </c>
      <c r="B390" s="156"/>
      <c r="C390" s="156"/>
      <c r="D390" s="156"/>
      <c r="E390" s="156"/>
      <c r="F390" s="479"/>
      <c r="G390" s="479"/>
      <c r="H390" s="2607"/>
      <c r="I390" s="2607"/>
      <c r="J390" s="2631"/>
      <c r="K390" s="2607"/>
      <c r="L390" s="2607"/>
      <c r="M390" s="1018"/>
      <c r="N390" s="1018"/>
    </row>
    <row r="391" spans="1:14" ht="14.25" hidden="1" customHeight="1" x14ac:dyDescent="0.2">
      <c r="A391" s="468" t="s">
        <v>383</v>
      </c>
      <c r="B391" s="475"/>
      <c r="C391" s="475"/>
      <c r="D391" s="475"/>
      <c r="E391" s="475"/>
      <c r="F391" s="481"/>
      <c r="G391" s="481"/>
      <c r="H391" s="2609"/>
      <c r="I391" s="2609"/>
      <c r="J391" s="2630"/>
      <c r="K391" s="2609"/>
      <c r="L391" s="2609"/>
      <c r="M391" s="1018"/>
      <c r="N391" s="1018"/>
    </row>
    <row r="392" spans="1:14" ht="14.25" hidden="1" customHeight="1" x14ac:dyDescent="0.2">
      <c r="A392" s="465" t="s">
        <v>384</v>
      </c>
      <c r="B392" s="156">
        <v>968</v>
      </c>
      <c r="C392" s="156">
        <v>503</v>
      </c>
      <c r="D392" s="156" t="s">
        <v>791</v>
      </c>
      <c r="E392" s="156">
        <v>500</v>
      </c>
      <c r="F392" s="479">
        <v>240</v>
      </c>
      <c r="G392" s="479">
        <v>300</v>
      </c>
      <c r="H392" s="2604">
        <f>H393</f>
        <v>0</v>
      </c>
      <c r="I392" s="2604">
        <f>I393</f>
        <v>0</v>
      </c>
      <c r="J392" s="2632">
        <f>J393</f>
        <v>0</v>
      </c>
      <c r="K392" s="2604">
        <f>K393</f>
        <v>0</v>
      </c>
      <c r="L392" s="2604">
        <f>L393</f>
        <v>0</v>
      </c>
      <c r="M392" s="1018"/>
      <c r="N392" s="1018"/>
    </row>
    <row r="393" spans="1:14" ht="14.25" hidden="1" customHeight="1" x14ac:dyDescent="0.2">
      <c r="A393" s="468" t="s">
        <v>280</v>
      </c>
      <c r="B393" s="475">
        <v>968</v>
      </c>
      <c r="C393" s="475">
        <v>503</v>
      </c>
      <c r="D393" s="475" t="s">
        <v>791</v>
      </c>
      <c r="E393" s="475">
        <v>500</v>
      </c>
      <c r="F393" s="481">
        <v>240</v>
      </c>
      <c r="G393" s="481">
        <v>340</v>
      </c>
      <c r="H393" s="2609">
        <f t="shared" ref="H393:H398" si="61">SUM(I393:L393)</f>
        <v>0</v>
      </c>
      <c r="I393" s="2609">
        <v>0</v>
      </c>
      <c r="J393" s="2630">
        <f>1000+1745-2745</f>
        <v>0</v>
      </c>
      <c r="K393" s="2609">
        <v>0</v>
      </c>
      <c r="L393" s="2609">
        <v>0</v>
      </c>
      <c r="M393" s="1018"/>
      <c r="N393" s="1018"/>
    </row>
    <row r="394" spans="1:14" ht="27" customHeight="1" x14ac:dyDescent="0.2">
      <c r="A394" s="490" t="s">
        <v>1175</v>
      </c>
      <c r="B394" s="159">
        <v>968</v>
      </c>
      <c r="C394" s="159">
        <v>503</v>
      </c>
      <c r="D394" s="159" t="s">
        <v>795</v>
      </c>
      <c r="E394" s="159"/>
      <c r="F394" s="489"/>
      <c r="G394" s="489"/>
      <c r="H394" s="821">
        <f t="shared" si="61"/>
        <v>296.95</v>
      </c>
      <c r="I394" s="821">
        <f t="shared" ref="I394:L395" si="62">I395</f>
        <v>0</v>
      </c>
      <c r="J394" s="821">
        <f t="shared" si="62"/>
        <v>296.95</v>
      </c>
      <c r="K394" s="821">
        <f t="shared" si="62"/>
        <v>0</v>
      </c>
      <c r="L394" s="821">
        <f t="shared" si="62"/>
        <v>0</v>
      </c>
      <c r="M394" s="1018"/>
      <c r="N394" s="1018"/>
    </row>
    <row r="395" spans="1:14" ht="15.75" customHeight="1" x14ac:dyDescent="0.2">
      <c r="A395" s="487" t="s">
        <v>1357</v>
      </c>
      <c r="B395" s="1285">
        <v>968</v>
      </c>
      <c r="C395" s="1285">
        <v>503</v>
      </c>
      <c r="D395" s="1285" t="s">
        <v>795</v>
      </c>
      <c r="E395" s="1285">
        <v>500</v>
      </c>
      <c r="F395" s="1279">
        <v>200</v>
      </c>
      <c r="G395" s="491"/>
      <c r="H395" s="821">
        <f t="shared" si="61"/>
        <v>296.95</v>
      </c>
      <c r="I395" s="821">
        <f t="shared" si="62"/>
        <v>0</v>
      </c>
      <c r="J395" s="821">
        <f t="shared" si="62"/>
        <v>296.95</v>
      </c>
      <c r="K395" s="821">
        <f t="shared" si="62"/>
        <v>0</v>
      </c>
      <c r="L395" s="821">
        <f t="shared" si="62"/>
        <v>0</v>
      </c>
      <c r="M395" s="1018"/>
      <c r="N395" s="1018"/>
    </row>
    <row r="396" spans="1:14" x14ac:dyDescent="0.2">
      <c r="A396" s="1278" t="s">
        <v>1201</v>
      </c>
      <c r="B396" s="1285">
        <v>968</v>
      </c>
      <c r="C396" s="1285">
        <v>503</v>
      </c>
      <c r="D396" s="1285" t="s">
        <v>795</v>
      </c>
      <c r="E396" s="1285">
        <v>500</v>
      </c>
      <c r="F396" s="1279">
        <v>244</v>
      </c>
      <c r="G396" s="1279"/>
      <c r="H396" s="1286">
        <f t="shared" si="61"/>
        <v>296.95</v>
      </c>
      <c r="I396" s="1286">
        <f>I397+I399</f>
        <v>0</v>
      </c>
      <c r="J396" s="1286">
        <f>J397</f>
        <v>296.95</v>
      </c>
      <c r="K396" s="1286">
        <f>K397</f>
        <v>0</v>
      </c>
      <c r="L396" s="1286">
        <f>L397+L399</f>
        <v>0</v>
      </c>
      <c r="M396" s="1018"/>
      <c r="N396" s="1018"/>
    </row>
    <row r="397" spans="1:14" ht="13.5" customHeight="1" x14ac:dyDescent="0.2">
      <c r="A397" s="465" t="s">
        <v>380</v>
      </c>
      <c r="B397" s="156">
        <v>968</v>
      </c>
      <c r="C397" s="156">
        <v>503</v>
      </c>
      <c r="D397" s="156" t="s">
        <v>795</v>
      </c>
      <c r="E397" s="156">
        <v>500</v>
      </c>
      <c r="F397" s="479">
        <v>244</v>
      </c>
      <c r="G397" s="479">
        <v>200</v>
      </c>
      <c r="H397" s="1802">
        <f t="shared" si="61"/>
        <v>296.95</v>
      </c>
      <c r="I397" s="1802">
        <f>I398</f>
        <v>0</v>
      </c>
      <c r="J397" s="1802">
        <f>J398</f>
        <v>296.95</v>
      </c>
      <c r="K397" s="1802">
        <f>K398</f>
        <v>0</v>
      </c>
      <c r="L397" s="1802">
        <f>L398</f>
        <v>0</v>
      </c>
      <c r="M397" s="1018"/>
      <c r="N397" s="1018"/>
    </row>
    <row r="398" spans="1:14" ht="13.5" customHeight="1" x14ac:dyDescent="0.2">
      <c r="A398" s="468" t="s">
        <v>383</v>
      </c>
      <c r="B398" s="475">
        <v>968</v>
      </c>
      <c r="C398" s="475">
        <v>503</v>
      </c>
      <c r="D398" s="475" t="s">
        <v>795</v>
      </c>
      <c r="E398" s="475">
        <v>500</v>
      </c>
      <c r="F398" s="481">
        <v>244</v>
      </c>
      <c r="G398" s="481">
        <v>226</v>
      </c>
      <c r="H398" s="1802">
        <f t="shared" si="61"/>
        <v>296.95</v>
      </c>
      <c r="I398" s="1802">
        <v>0</v>
      </c>
      <c r="J398" s="2663">
        <f>300-3.05</f>
        <v>296.95</v>
      </c>
      <c r="K398" s="1802">
        <f>300-300</f>
        <v>0</v>
      </c>
      <c r="L398" s="1802">
        <f>107.589-107.589</f>
        <v>0</v>
      </c>
      <c r="M398" s="1018"/>
      <c r="N398" s="1018"/>
    </row>
    <row r="399" spans="1:14" ht="13.5" hidden="1" customHeight="1" x14ac:dyDescent="0.2">
      <c r="A399" s="465" t="s">
        <v>384</v>
      </c>
      <c r="B399" s="156">
        <v>968</v>
      </c>
      <c r="C399" s="156">
        <v>503</v>
      </c>
      <c r="D399" s="156" t="s">
        <v>795</v>
      </c>
      <c r="E399" s="156">
        <v>500</v>
      </c>
      <c r="F399" s="479">
        <v>240</v>
      </c>
      <c r="G399" s="479">
        <v>300</v>
      </c>
      <c r="H399" s="2604">
        <f>H400</f>
        <v>0</v>
      </c>
      <c r="I399" s="2604">
        <f>I400</f>
        <v>0</v>
      </c>
      <c r="J399" s="2632">
        <f>J400</f>
        <v>0</v>
      </c>
      <c r="K399" s="2604">
        <f>K400</f>
        <v>0</v>
      </c>
      <c r="L399" s="2604">
        <f>L400</f>
        <v>0</v>
      </c>
      <c r="M399" s="1018"/>
      <c r="N399" s="1018"/>
    </row>
    <row r="400" spans="1:14" ht="13.5" hidden="1" customHeight="1" x14ac:dyDescent="0.2">
      <c r="A400" s="468" t="s">
        <v>280</v>
      </c>
      <c r="B400" s="475">
        <v>968</v>
      </c>
      <c r="C400" s="475">
        <v>503</v>
      </c>
      <c r="D400" s="475" t="s">
        <v>795</v>
      </c>
      <c r="E400" s="475">
        <v>500</v>
      </c>
      <c r="F400" s="481">
        <v>240</v>
      </c>
      <c r="G400" s="481">
        <v>340</v>
      </c>
      <c r="H400" s="2609">
        <f>SUM(I400:L400)</f>
        <v>0</v>
      </c>
      <c r="I400" s="2609">
        <v>0</v>
      </c>
      <c r="J400" s="2630">
        <f>523.56-523.56</f>
        <v>0</v>
      </c>
      <c r="K400" s="2609">
        <f>523.561-523.561</f>
        <v>0</v>
      </c>
      <c r="L400" s="2609">
        <f>107.589-107.589</f>
        <v>0</v>
      </c>
      <c r="M400" s="1018"/>
      <c r="N400" s="1018"/>
    </row>
    <row r="401" spans="1:14" ht="25.5" hidden="1" customHeight="1" x14ac:dyDescent="0.2">
      <c r="B401" s="159">
        <v>968</v>
      </c>
      <c r="C401" s="159">
        <v>503</v>
      </c>
      <c r="D401" s="159" t="str">
        <f>D403</f>
        <v>600 03 04</v>
      </c>
      <c r="E401" s="159"/>
      <c r="F401" s="489"/>
      <c r="G401" s="489"/>
      <c r="H401" s="2600">
        <f>H403</f>
        <v>0</v>
      </c>
      <c r="I401" s="2600">
        <f t="shared" ref="I401:L402" si="63">I402</f>
        <v>0</v>
      </c>
      <c r="J401" s="2600">
        <f t="shared" si="63"/>
        <v>0</v>
      </c>
      <c r="K401" s="2600">
        <f t="shared" si="63"/>
        <v>0</v>
      </c>
      <c r="L401" s="2600">
        <f t="shared" si="63"/>
        <v>0</v>
      </c>
      <c r="M401" s="1018"/>
      <c r="N401" s="1018"/>
    </row>
    <row r="402" spans="1:14" ht="15" hidden="1" customHeight="1" x14ac:dyDescent="0.2">
      <c r="A402" s="487" t="s">
        <v>1357</v>
      </c>
      <c r="B402" s="1285">
        <v>968</v>
      </c>
      <c r="C402" s="1285">
        <v>503</v>
      </c>
      <c r="D402" s="1285" t="str">
        <f>D403</f>
        <v>600 03 04</v>
      </c>
      <c r="E402" s="1285">
        <v>500</v>
      </c>
      <c r="F402" s="1279">
        <v>200</v>
      </c>
      <c r="G402" s="491"/>
      <c r="H402" s="2600">
        <f>SUM(I402:L402)</f>
        <v>0</v>
      </c>
      <c r="I402" s="2600">
        <f t="shared" si="63"/>
        <v>0</v>
      </c>
      <c r="J402" s="2600">
        <f t="shared" si="63"/>
        <v>0</v>
      </c>
      <c r="K402" s="2600">
        <f t="shared" si="63"/>
        <v>0</v>
      </c>
      <c r="L402" s="2600">
        <f t="shared" si="63"/>
        <v>0</v>
      </c>
      <c r="M402" s="1018"/>
      <c r="N402" s="1018"/>
    </row>
    <row r="403" spans="1:14" ht="13.5" hidden="1" customHeight="1" x14ac:dyDescent="0.2">
      <c r="A403" s="1278" t="s">
        <v>1201</v>
      </c>
      <c r="B403" s="1285">
        <v>968</v>
      </c>
      <c r="C403" s="1285">
        <v>503</v>
      </c>
      <c r="D403" s="1285" t="str">
        <f>D404</f>
        <v>600 03 04</v>
      </c>
      <c r="E403" s="1285">
        <v>500</v>
      </c>
      <c r="F403" s="1279">
        <v>244</v>
      </c>
      <c r="G403" s="1279"/>
      <c r="H403" s="2602">
        <f t="shared" ref="H403:L404" si="64">H404</f>
        <v>0</v>
      </c>
      <c r="I403" s="2602">
        <f t="shared" si="64"/>
        <v>0</v>
      </c>
      <c r="J403" s="2629">
        <f t="shared" si="64"/>
        <v>0</v>
      </c>
      <c r="K403" s="2602">
        <f t="shared" si="64"/>
        <v>0</v>
      </c>
      <c r="L403" s="2602">
        <f t="shared" si="64"/>
        <v>0</v>
      </c>
      <c r="M403" s="1018"/>
      <c r="N403" s="1018"/>
    </row>
    <row r="404" spans="1:14" ht="13.5" hidden="1" customHeight="1" x14ac:dyDescent="0.2">
      <c r="A404" s="465" t="s">
        <v>380</v>
      </c>
      <c r="B404" s="156">
        <v>968</v>
      </c>
      <c r="C404" s="156">
        <v>503</v>
      </c>
      <c r="D404" s="156" t="str">
        <f>D405</f>
        <v>600 03 04</v>
      </c>
      <c r="E404" s="156">
        <v>500</v>
      </c>
      <c r="F404" s="479">
        <v>244</v>
      </c>
      <c r="G404" s="479">
        <v>200</v>
      </c>
      <c r="H404" s="2607">
        <f t="shared" si="64"/>
        <v>0</v>
      </c>
      <c r="I404" s="2607">
        <f t="shared" si="64"/>
        <v>0</v>
      </c>
      <c r="J404" s="2631">
        <f t="shared" si="64"/>
        <v>0</v>
      </c>
      <c r="K404" s="2607">
        <f t="shared" si="64"/>
        <v>0</v>
      </c>
      <c r="L404" s="2607">
        <f t="shared" si="64"/>
        <v>0</v>
      </c>
      <c r="M404" s="1018"/>
      <c r="N404" s="1018"/>
    </row>
    <row r="405" spans="1:14" ht="13.5" hidden="1" customHeight="1" x14ac:dyDescent="0.2">
      <c r="A405" s="468" t="s">
        <v>383</v>
      </c>
      <c r="B405" s="475">
        <v>968</v>
      </c>
      <c r="C405" s="475">
        <v>503</v>
      </c>
      <c r="D405" s="475" t="s">
        <v>1174</v>
      </c>
      <c r="E405" s="475">
        <v>500</v>
      </c>
      <c r="F405" s="481">
        <v>244</v>
      </c>
      <c r="G405" s="481">
        <v>226</v>
      </c>
      <c r="H405" s="2609">
        <f t="shared" ref="H405:H410" si="65">SUM(I405:L405)</f>
        <v>0</v>
      </c>
      <c r="I405" s="2609">
        <v>0</v>
      </c>
      <c r="J405" s="2630">
        <f>500-500</f>
        <v>0</v>
      </c>
      <c r="K405" s="2609">
        <v>0</v>
      </c>
      <c r="L405" s="2609">
        <v>0</v>
      </c>
      <c r="M405" s="1018"/>
      <c r="N405" s="1018"/>
    </row>
    <row r="406" spans="1:14" ht="15.75" customHeight="1" x14ac:dyDescent="0.2">
      <c r="A406" s="490" t="s">
        <v>1158</v>
      </c>
      <c r="B406" s="159">
        <v>968</v>
      </c>
      <c r="C406" s="159">
        <v>503</v>
      </c>
      <c r="D406" s="159" t="str">
        <f>D408</f>
        <v>600 03 05</v>
      </c>
      <c r="E406" s="159"/>
      <c r="F406" s="489"/>
      <c r="G406" s="489"/>
      <c r="H406" s="821">
        <f t="shared" si="65"/>
        <v>150</v>
      </c>
      <c r="I406" s="821">
        <f t="shared" ref="I406:L407" si="66">I407</f>
        <v>0</v>
      </c>
      <c r="J406" s="821">
        <f t="shared" si="66"/>
        <v>0</v>
      </c>
      <c r="K406" s="821">
        <f t="shared" si="66"/>
        <v>0</v>
      </c>
      <c r="L406" s="821">
        <f t="shared" si="66"/>
        <v>150</v>
      </c>
      <c r="M406" s="1018"/>
      <c r="N406" s="1018"/>
    </row>
    <row r="407" spans="1:14" ht="15.75" customHeight="1" x14ac:dyDescent="0.2">
      <c r="A407" s="487" t="s">
        <v>1357</v>
      </c>
      <c r="B407" s="1285">
        <v>968</v>
      </c>
      <c r="C407" s="1285">
        <v>503</v>
      </c>
      <c r="D407" s="1285" t="str">
        <f>D408</f>
        <v>600 03 05</v>
      </c>
      <c r="E407" s="1285">
        <v>500</v>
      </c>
      <c r="F407" s="1279">
        <v>200</v>
      </c>
      <c r="G407" s="491"/>
      <c r="H407" s="821">
        <f t="shared" si="65"/>
        <v>150</v>
      </c>
      <c r="I407" s="821">
        <f t="shared" si="66"/>
        <v>0</v>
      </c>
      <c r="J407" s="821">
        <f t="shared" si="66"/>
        <v>0</v>
      </c>
      <c r="K407" s="821">
        <f t="shared" si="66"/>
        <v>0</v>
      </c>
      <c r="L407" s="821">
        <f t="shared" si="66"/>
        <v>150</v>
      </c>
      <c r="M407" s="1018"/>
      <c r="N407" s="1018"/>
    </row>
    <row r="408" spans="1:14" ht="15" customHeight="1" x14ac:dyDescent="0.2">
      <c r="A408" s="1278" t="s">
        <v>1201</v>
      </c>
      <c r="B408" s="1285">
        <v>968</v>
      </c>
      <c r="C408" s="1285">
        <v>503</v>
      </c>
      <c r="D408" s="1285" t="str">
        <f>D409</f>
        <v>600 03 05</v>
      </c>
      <c r="E408" s="1285">
        <v>500</v>
      </c>
      <c r="F408" s="1279">
        <v>244</v>
      </c>
      <c r="G408" s="1279"/>
      <c r="H408" s="1286">
        <f t="shared" si="65"/>
        <v>150</v>
      </c>
      <c r="I408" s="1286">
        <f t="shared" ref="I408:K409" si="67">I409</f>
        <v>0</v>
      </c>
      <c r="J408" s="2662">
        <f>J409</f>
        <v>0</v>
      </c>
      <c r="K408" s="1286">
        <f t="shared" si="67"/>
        <v>0</v>
      </c>
      <c r="L408" s="1286">
        <f>L409</f>
        <v>150</v>
      </c>
      <c r="M408" s="1018"/>
      <c r="N408" s="1018"/>
    </row>
    <row r="409" spans="1:14" x14ac:dyDescent="0.2">
      <c r="A409" s="465" t="s">
        <v>380</v>
      </c>
      <c r="B409" s="156">
        <v>968</v>
      </c>
      <c r="C409" s="156">
        <v>503</v>
      </c>
      <c r="D409" s="156" t="str">
        <f>D410</f>
        <v>600 03 05</v>
      </c>
      <c r="E409" s="156">
        <v>500</v>
      </c>
      <c r="F409" s="479">
        <v>244</v>
      </c>
      <c r="G409" s="479">
        <v>200</v>
      </c>
      <c r="H409" s="1804">
        <f t="shared" si="65"/>
        <v>150</v>
      </c>
      <c r="I409" s="1804">
        <f t="shared" si="67"/>
        <v>0</v>
      </c>
      <c r="J409" s="2664">
        <f>J410</f>
        <v>0</v>
      </c>
      <c r="K409" s="1804">
        <f t="shared" si="67"/>
        <v>0</v>
      </c>
      <c r="L409" s="1804">
        <f>L410</f>
        <v>150</v>
      </c>
      <c r="M409" s="1018"/>
      <c r="N409" s="1018"/>
    </row>
    <row r="410" spans="1:14" x14ac:dyDescent="0.2">
      <c r="A410" s="468" t="s">
        <v>383</v>
      </c>
      <c r="B410" s="475">
        <v>968</v>
      </c>
      <c r="C410" s="475">
        <v>503</v>
      </c>
      <c r="D410" s="475" t="s">
        <v>1157</v>
      </c>
      <c r="E410" s="475">
        <v>500</v>
      </c>
      <c r="F410" s="481">
        <v>244</v>
      </c>
      <c r="G410" s="481">
        <v>226</v>
      </c>
      <c r="H410" s="1802">
        <f t="shared" si="65"/>
        <v>150</v>
      </c>
      <c r="I410" s="1802">
        <v>0</v>
      </c>
      <c r="J410" s="2663">
        <v>0</v>
      </c>
      <c r="K410" s="1802">
        <v>0</v>
      </c>
      <c r="L410" s="1802">
        <v>150</v>
      </c>
      <c r="M410" s="1018"/>
      <c r="N410" s="1018"/>
    </row>
    <row r="411" spans="1:14" x14ac:dyDescent="0.2">
      <c r="A411" s="487" t="s">
        <v>1159</v>
      </c>
      <c r="B411" s="166">
        <v>968</v>
      </c>
      <c r="C411" s="166">
        <v>503</v>
      </c>
      <c r="D411" s="166" t="s">
        <v>796</v>
      </c>
      <c r="E411" s="166"/>
      <c r="F411" s="482"/>
      <c r="G411" s="482"/>
      <c r="H411" s="832">
        <f>H412+H420+H425</f>
        <v>5277.4509999999991</v>
      </c>
      <c r="I411" s="832">
        <f>I412+I420+I425</f>
        <v>0</v>
      </c>
      <c r="J411" s="832">
        <f>J412+J420+J425</f>
        <v>0</v>
      </c>
      <c r="K411" s="832">
        <f>K412+K420+K425</f>
        <v>5277.4509999999991</v>
      </c>
      <c r="L411" s="832">
        <f>L412+L420+L425</f>
        <v>0</v>
      </c>
      <c r="M411" s="1018"/>
      <c r="N411" s="1018"/>
    </row>
    <row r="412" spans="1:14" ht="27" customHeight="1" x14ac:dyDescent="0.2">
      <c r="A412" s="2976" t="s">
        <v>1160</v>
      </c>
      <c r="B412" s="2977">
        <v>968</v>
      </c>
      <c r="C412" s="2977">
        <v>503</v>
      </c>
      <c r="D412" s="2973" t="s">
        <v>797</v>
      </c>
      <c r="E412" s="2973"/>
      <c r="F412" s="2974"/>
      <c r="G412" s="2974"/>
      <c r="H412" s="2975">
        <f t="shared" ref="H412:H417" si="68">SUM(I412:L412)</f>
        <v>4133.3819999999996</v>
      </c>
      <c r="I412" s="2975">
        <f t="shared" ref="I412:L413" si="69">I413</f>
        <v>0</v>
      </c>
      <c r="J412" s="2975">
        <f t="shared" si="69"/>
        <v>0</v>
      </c>
      <c r="K412" s="2975">
        <f t="shared" si="69"/>
        <v>4133.3819999999996</v>
      </c>
      <c r="L412" s="2975">
        <f t="shared" si="69"/>
        <v>0</v>
      </c>
      <c r="M412" s="1018"/>
      <c r="N412" s="1018"/>
    </row>
    <row r="413" spans="1:14" ht="16.5" customHeight="1" x14ac:dyDescent="0.2">
      <c r="A413" s="487" t="s">
        <v>1357</v>
      </c>
      <c r="B413" s="1285">
        <v>968</v>
      </c>
      <c r="C413" s="1285">
        <v>503</v>
      </c>
      <c r="D413" s="1285" t="s">
        <v>797</v>
      </c>
      <c r="E413" s="1285">
        <v>500</v>
      </c>
      <c r="F413" s="1279">
        <v>200</v>
      </c>
      <c r="G413" s="482"/>
      <c r="H413" s="2671">
        <f t="shared" si="68"/>
        <v>4133.3819999999996</v>
      </c>
      <c r="I413" s="2671">
        <f t="shared" si="69"/>
        <v>0</v>
      </c>
      <c r="J413" s="2671">
        <f t="shared" si="69"/>
        <v>0</v>
      </c>
      <c r="K413" s="2671">
        <f t="shared" si="69"/>
        <v>4133.3819999999996</v>
      </c>
      <c r="L413" s="2671">
        <f t="shared" si="69"/>
        <v>0</v>
      </c>
      <c r="M413" s="1018"/>
      <c r="N413" s="1018"/>
    </row>
    <row r="414" spans="1:14" x14ac:dyDescent="0.2">
      <c r="A414" s="1278" t="s">
        <v>1201</v>
      </c>
      <c r="B414" s="1285">
        <v>968</v>
      </c>
      <c r="C414" s="1285">
        <v>503</v>
      </c>
      <c r="D414" s="1285" t="s">
        <v>797</v>
      </c>
      <c r="E414" s="1285">
        <v>500</v>
      </c>
      <c r="F414" s="1279">
        <v>244</v>
      </c>
      <c r="G414" s="1279"/>
      <c r="H414" s="1286">
        <f t="shared" si="68"/>
        <v>4133.3819999999996</v>
      </c>
      <c r="I414" s="1286">
        <f>I415+I418</f>
        <v>0</v>
      </c>
      <c r="J414" s="1286">
        <f>J415+J418</f>
        <v>0</v>
      </c>
      <c r="K414" s="1286">
        <f>K415+K418</f>
        <v>4133.3819999999996</v>
      </c>
      <c r="L414" s="1286">
        <f>L415+L418</f>
        <v>0</v>
      </c>
      <c r="M414" s="1018"/>
      <c r="N414" s="1018"/>
    </row>
    <row r="415" spans="1:14" x14ac:dyDescent="0.2">
      <c r="A415" s="465" t="s">
        <v>380</v>
      </c>
      <c r="B415" s="156">
        <v>968</v>
      </c>
      <c r="C415" s="156">
        <v>503</v>
      </c>
      <c r="D415" s="156" t="s">
        <v>797</v>
      </c>
      <c r="E415" s="156">
        <v>500</v>
      </c>
      <c r="F415" s="479">
        <v>244</v>
      </c>
      <c r="G415" s="1284">
        <v>200</v>
      </c>
      <c r="H415" s="1804">
        <f t="shared" si="68"/>
        <v>1192.4000000000001</v>
      </c>
      <c r="I415" s="1804">
        <f>SUM(I416:I417)</f>
        <v>0</v>
      </c>
      <c r="J415" s="1804">
        <f>SUM(J416:J417)</f>
        <v>0</v>
      </c>
      <c r="K415" s="1804">
        <f>SUM(K416:K417)</f>
        <v>1192.4000000000001</v>
      </c>
      <c r="L415" s="1804">
        <f>SUM(L416:L417)</f>
        <v>0</v>
      </c>
      <c r="M415" s="1018"/>
      <c r="N415" s="1018"/>
    </row>
    <row r="416" spans="1:14" ht="13.5" hidden="1" customHeight="1" x14ac:dyDescent="0.2">
      <c r="A416" s="468" t="s">
        <v>382</v>
      </c>
      <c r="B416" s="475">
        <v>968</v>
      </c>
      <c r="C416" s="475">
        <v>503</v>
      </c>
      <c r="D416" s="475" t="s">
        <v>797</v>
      </c>
      <c r="E416" s="475">
        <v>500</v>
      </c>
      <c r="F416" s="481">
        <v>244</v>
      </c>
      <c r="G416" s="2106">
        <v>225</v>
      </c>
      <c r="H416" s="1802">
        <f t="shared" si="68"/>
        <v>0</v>
      </c>
      <c r="I416" s="1802">
        <v>0</v>
      </c>
      <c r="J416" s="2663">
        <f>250-250</f>
        <v>0</v>
      </c>
      <c r="K416" s="1802">
        <v>0</v>
      </c>
      <c r="L416" s="1802">
        <f>500-500</f>
        <v>0</v>
      </c>
      <c r="M416" s="1018"/>
      <c r="N416" s="1018"/>
    </row>
    <row r="417" spans="1:14" ht="13.5" customHeight="1" x14ac:dyDescent="0.2">
      <c r="A417" s="468" t="s">
        <v>383</v>
      </c>
      <c r="B417" s="475">
        <v>968</v>
      </c>
      <c r="C417" s="475">
        <v>503</v>
      </c>
      <c r="D417" s="475" t="s">
        <v>797</v>
      </c>
      <c r="E417" s="475">
        <v>500</v>
      </c>
      <c r="F417" s="481">
        <v>244</v>
      </c>
      <c r="G417" s="2106">
        <v>226</v>
      </c>
      <c r="H417" s="1802">
        <f t="shared" si="68"/>
        <v>1192.4000000000001</v>
      </c>
      <c r="I417" s="1802">
        <f>1145.923-1145.923</f>
        <v>0</v>
      </c>
      <c r="J417" s="2663">
        <f>60+34.459-29.959-64.5</f>
        <v>0</v>
      </c>
      <c r="K417" s="1802">
        <f>1000+175.721-47.821+64.5</f>
        <v>1192.4000000000001</v>
      </c>
      <c r="L417" s="1802">
        <f>215.598-215.598</f>
        <v>0</v>
      </c>
      <c r="M417" s="1018"/>
      <c r="N417" s="1018"/>
    </row>
    <row r="418" spans="1:14" ht="13.5" customHeight="1" x14ac:dyDescent="0.2">
      <c r="A418" s="465" t="s">
        <v>384</v>
      </c>
      <c r="B418" s="156">
        <v>968</v>
      </c>
      <c r="C418" s="156">
        <v>503</v>
      </c>
      <c r="D418" s="156" t="s">
        <v>797</v>
      </c>
      <c r="E418" s="156">
        <v>500</v>
      </c>
      <c r="F418" s="479">
        <v>244</v>
      </c>
      <c r="G418" s="755">
        <v>300</v>
      </c>
      <c r="H418" s="2669">
        <f>H419</f>
        <v>2940.9819999999995</v>
      </c>
      <c r="I418" s="2669">
        <f>I419</f>
        <v>0</v>
      </c>
      <c r="J418" s="2670">
        <f>J419</f>
        <v>0</v>
      </c>
      <c r="K418" s="2669">
        <f>K419</f>
        <v>2940.9819999999995</v>
      </c>
      <c r="L418" s="2669">
        <f>L419</f>
        <v>0</v>
      </c>
      <c r="M418" s="1018"/>
      <c r="N418" s="1018"/>
    </row>
    <row r="419" spans="1:14" ht="13.5" customHeight="1" x14ac:dyDescent="0.2">
      <c r="A419" s="468" t="s">
        <v>279</v>
      </c>
      <c r="B419" s="475">
        <v>968</v>
      </c>
      <c r="C419" s="475">
        <v>503</v>
      </c>
      <c r="D419" s="475" t="s">
        <v>797</v>
      </c>
      <c r="E419" s="475">
        <v>500</v>
      </c>
      <c r="F419" s="481">
        <v>244</v>
      </c>
      <c r="G419" s="481">
        <v>310</v>
      </c>
      <c r="H419" s="1802">
        <f>SUM(I419:L419)</f>
        <v>2940.9819999999995</v>
      </c>
      <c r="I419" s="1802">
        <v>0</v>
      </c>
      <c r="J419" s="2663">
        <f>1000-1000</f>
        <v>0</v>
      </c>
      <c r="K419" s="1802">
        <f>1978.061+1000-37.079</f>
        <v>2940.9819999999995</v>
      </c>
      <c r="L419" s="1802">
        <v>0</v>
      </c>
      <c r="M419" s="1018"/>
      <c r="N419" s="1018"/>
    </row>
    <row r="420" spans="1:14" ht="13.5" customHeight="1" x14ac:dyDescent="0.2">
      <c r="A420" s="1292" t="s">
        <v>1161</v>
      </c>
      <c r="B420" s="830">
        <v>968</v>
      </c>
      <c r="C420" s="830">
        <v>503</v>
      </c>
      <c r="D420" s="830" t="str">
        <f>D422</f>
        <v>600 04 02</v>
      </c>
      <c r="E420" s="830"/>
      <c r="F420" s="2099"/>
      <c r="G420" s="1282"/>
      <c r="H420" s="821">
        <f>H422</f>
        <v>1144.069</v>
      </c>
      <c r="I420" s="821">
        <f t="shared" ref="I420:L421" si="70">I421</f>
        <v>0</v>
      </c>
      <c r="J420" s="821">
        <f t="shared" si="70"/>
        <v>0</v>
      </c>
      <c r="K420" s="821">
        <f t="shared" si="70"/>
        <v>1144.069</v>
      </c>
      <c r="L420" s="821">
        <f t="shared" si="70"/>
        <v>0</v>
      </c>
      <c r="M420" s="1018"/>
      <c r="N420" s="1018"/>
    </row>
    <row r="421" spans="1:14" ht="13.5" customHeight="1" x14ac:dyDescent="0.2">
      <c r="A421" s="487" t="s">
        <v>1357</v>
      </c>
      <c r="B421" s="1285">
        <v>968</v>
      </c>
      <c r="C421" s="1285">
        <v>503</v>
      </c>
      <c r="D421" s="1285" t="str">
        <f>D422</f>
        <v>600 04 02</v>
      </c>
      <c r="E421" s="1285">
        <v>500</v>
      </c>
      <c r="F421" s="1279">
        <v>200</v>
      </c>
      <c r="G421" s="481"/>
      <c r="H421" s="2673">
        <f>SUM(I421:L421)</f>
        <v>1144.069</v>
      </c>
      <c r="I421" s="2673">
        <f t="shared" si="70"/>
        <v>0</v>
      </c>
      <c r="J421" s="2673">
        <f t="shared" si="70"/>
        <v>0</v>
      </c>
      <c r="K421" s="2673">
        <f t="shared" si="70"/>
        <v>1144.069</v>
      </c>
      <c r="L421" s="2673">
        <f t="shared" si="70"/>
        <v>0</v>
      </c>
      <c r="M421" s="1018"/>
      <c r="N421" s="1018"/>
    </row>
    <row r="422" spans="1:14" ht="13.5" customHeight="1" x14ac:dyDescent="0.2">
      <c r="A422" s="1278" t="s">
        <v>1201</v>
      </c>
      <c r="B422" s="1285">
        <v>968</v>
      </c>
      <c r="C422" s="1285">
        <v>503</v>
      </c>
      <c r="D422" s="1285" t="str">
        <f>D423</f>
        <v>600 04 02</v>
      </c>
      <c r="E422" s="1285">
        <v>500</v>
      </c>
      <c r="F422" s="1279">
        <v>244</v>
      </c>
      <c r="G422" s="481"/>
      <c r="H422" s="2673">
        <f t="shared" ref="H422:J423" si="71">H423</f>
        <v>1144.069</v>
      </c>
      <c r="I422" s="2673">
        <f t="shared" si="71"/>
        <v>0</v>
      </c>
      <c r="J422" s="2673">
        <f t="shared" si="71"/>
        <v>0</v>
      </c>
      <c r="K422" s="2673">
        <f>K423</f>
        <v>1144.069</v>
      </c>
      <c r="L422" s="2673">
        <f>L423</f>
        <v>0</v>
      </c>
      <c r="M422" s="1018"/>
      <c r="N422" s="1018"/>
    </row>
    <row r="423" spans="1:14" ht="13.5" customHeight="1" x14ac:dyDescent="0.2">
      <c r="A423" s="465" t="s">
        <v>384</v>
      </c>
      <c r="B423" s="156">
        <v>968</v>
      </c>
      <c r="C423" s="156">
        <v>503</v>
      </c>
      <c r="D423" s="156" t="str">
        <f>D424</f>
        <v>600 04 02</v>
      </c>
      <c r="E423" s="156">
        <v>500</v>
      </c>
      <c r="F423" s="479">
        <v>244</v>
      </c>
      <c r="G423" s="755">
        <v>300</v>
      </c>
      <c r="H423" s="1802">
        <f t="shared" si="71"/>
        <v>1144.069</v>
      </c>
      <c r="I423" s="1802">
        <f t="shared" si="71"/>
        <v>0</v>
      </c>
      <c r="J423" s="1802">
        <f t="shared" si="71"/>
        <v>0</v>
      </c>
      <c r="K423" s="1802">
        <f>K424</f>
        <v>1144.069</v>
      </c>
      <c r="L423" s="1802">
        <f>L424</f>
        <v>0</v>
      </c>
      <c r="M423" s="1018"/>
      <c r="N423" s="1018"/>
    </row>
    <row r="424" spans="1:14" ht="13.5" customHeight="1" thickBot="1" x14ac:dyDescent="0.25">
      <c r="A424" s="468" t="s">
        <v>279</v>
      </c>
      <c r="B424" s="475">
        <v>968</v>
      </c>
      <c r="C424" s="475">
        <v>503</v>
      </c>
      <c r="D424" s="475" t="s">
        <v>814</v>
      </c>
      <c r="E424" s="475">
        <v>500</v>
      </c>
      <c r="F424" s="481">
        <v>244</v>
      </c>
      <c r="G424" s="481">
        <v>310</v>
      </c>
      <c r="H424" s="1802">
        <f>SUM(I424:L424)</f>
        <v>1144.069</v>
      </c>
      <c r="I424" s="1802">
        <v>0</v>
      </c>
      <c r="J424" s="2663">
        <f>420-137.65-282.35</f>
        <v>0</v>
      </c>
      <c r="K424" s="1802">
        <f>1019.434-157.715+282.35</f>
        <v>1144.069</v>
      </c>
      <c r="L424" s="1802">
        <f>1439.434-1439.434</f>
        <v>0</v>
      </c>
      <c r="M424" s="1018"/>
      <c r="N424" s="1018"/>
    </row>
    <row r="425" spans="1:14" ht="27" hidden="1" customHeight="1" x14ac:dyDescent="0.2">
      <c r="A425" s="490" t="s">
        <v>153</v>
      </c>
      <c r="B425" s="159">
        <v>968</v>
      </c>
      <c r="C425" s="159">
        <v>503</v>
      </c>
      <c r="D425" s="159" t="str">
        <f>D427</f>
        <v>600 04 03</v>
      </c>
      <c r="E425" s="159"/>
      <c r="F425" s="489"/>
      <c r="G425" s="489"/>
      <c r="H425" s="2600">
        <f>H427</f>
        <v>0</v>
      </c>
      <c r="I425" s="2600">
        <f t="shared" ref="I425:L426" si="72">I426</f>
        <v>0</v>
      </c>
      <c r="J425" s="2600">
        <f t="shared" si="72"/>
        <v>0</v>
      </c>
      <c r="K425" s="2600">
        <f t="shared" si="72"/>
        <v>0</v>
      </c>
      <c r="L425" s="2600">
        <f t="shared" si="72"/>
        <v>0</v>
      </c>
      <c r="M425" s="1018"/>
      <c r="N425" s="1018"/>
    </row>
    <row r="426" spans="1:14" ht="15" hidden="1" customHeight="1" x14ac:dyDescent="0.2">
      <c r="A426" s="487" t="s">
        <v>1357</v>
      </c>
      <c r="B426" s="1285">
        <v>968</v>
      </c>
      <c r="C426" s="1285">
        <v>503</v>
      </c>
      <c r="D426" s="1285" t="str">
        <f>D427</f>
        <v>600 04 03</v>
      </c>
      <c r="E426" s="1285">
        <v>500</v>
      </c>
      <c r="F426" s="1279">
        <v>200</v>
      </c>
      <c r="G426" s="491"/>
      <c r="H426" s="2600">
        <f>SUM(I426:L426)</f>
        <v>0</v>
      </c>
      <c r="I426" s="2600">
        <f t="shared" si="72"/>
        <v>0</v>
      </c>
      <c r="J426" s="2600">
        <f t="shared" si="72"/>
        <v>0</v>
      </c>
      <c r="K426" s="2600">
        <f t="shared" si="72"/>
        <v>0</v>
      </c>
      <c r="L426" s="2600">
        <f t="shared" si="72"/>
        <v>0</v>
      </c>
      <c r="M426" s="1018"/>
      <c r="N426" s="1018"/>
    </row>
    <row r="427" spans="1:14" hidden="1" x14ac:dyDescent="0.2">
      <c r="A427" s="1278" t="s">
        <v>1201</v>
      </c>
      <c r="B427" s="1285">
        <v>968</v>
      </c>
      <c r="C427" s="1285">
        <v>503</v>
      </c>
      <c r="D427" s="1285" t="str">
        <f>D428</f>
        <v>600 04 03</v>
      </c>
      <c r="E427" s="1285">
        <v>500</v>
      </c>
      <c r="F427" s="1279">
        <v>244</v>
      </c>
      <c r="G427" s="1279"/>
      <c r="H427" s="2602">
        <f t="shared" ref="H427:L428" si="73">H428</f>
        <v>0</v>
      </c>
      <c r="I427" s="2602">
        <f t="shared" si="73"/>
        <v>0</v>
      </c>
      <c r="J427" s="2629">
        <f t="shared" si="73"/>
        <v>0</v>
      </c>
      <c r="K427" s="2602">
        <f t="shared" si="73"/>
        <v>0</v>
      </c>
      <c r="L427" s="2602">
        <f t="shared" si="73"/>
        <v>0</v>
      </c>
      <c r="M427" s="1018"/>
      <c r="N427" s="1018"/>
    </row>
    <row r="428" spans="1:14" hidden="1" x14ac:dyDescent="0.2">
      <c r="A428" s="465" t="s">
        <v>380</v>
      </c>
      <c r="B428" s="156">
        <v>968</v>
      </c>
      <c r="C428" s="156">
        <v>503</v>
      </c>
      <c r="D428" s="156" t="str">
        <f>D429</f>
        <v>600 04 03</v>
      </c>
      <c r="E428" s="156">
        <v>500</v>
      </c>
      <c r="F428" s="479">
        <v>244</v>
      </c>
      <c r="G428" s="479">
        <v>200</v>
      </c>
      <c r="H428" s="2607">
        <f t="shared" si="73"/>
        <v>0</v>
      </c>
      <c r="I428" s="2607">
        <f t="shared" si="73"/>
        <v>0</v>
      </c>
      <c r="J428" s="2631">
        <f t="shared" si="73"/>
        <v>0</v>
      </c>
      <c r="K428" s="2607">
        <f t="shared" si="73"/>
        <v>0</v>
      </c>
      <c r="L428" s="2607">
        <f t="shared" si="73"/>
        <v>0</v>
      </c>
      <c r="M428" s="1018"/>
      <c r="N428" s="1018"/>
    </row>
    <row r="429" spans="1:14" hidden="1" x14ac:dyDescent="0.2">
      <c r="A429" s="468" t="s">
        <v>383</v>
      </c>
      <c r="B429" s="475">
        <v>968</v>
      </c>
      <c r="C429" s="475">
        <v>503</v>
      </c>
      <c r="D429" s="475" t="s">
        <v>1022</v>
      </c>
      <c r="E429" s="475">
        <v>500</v>
      </c>
      <c r="F429" s="481">
        <v>244</v>
      </c>
      <c r="G429" s="481">
        <v>226</v>
      </c>
      <c r="H429" s="2609">
        <f>SUM(I429:L429)</f>
        <v>0</v>
      </c>
      <c r="I429" s="2609">
        <v>0</v>
      </c>
      <c r="J429" s="2630">
        <f>1000-1000</f>
        <v>0</v>
      </c>
      <c r="K429" s="2609">
        <v>0</v>
      </c>
      <c r="L429" s="2609">
        <v>0</v>
      </c>
      <c r="M429" s="1018"/>
      <c r="N429" s="1018"/>
    </row>
    <row r="430" spans="1:14" ht="22.5" hidden="1" customHeight="1" x14ac:dyDescent="0.2">
      <c r="A430" s="490" t="s">
        <v>1024</v>
      </c>
      <c r="B430" s="463">
        <v>968</v>
      </c>
      <c r="C430" s="463">
        <v>503</v>
      </c>
      <c r="D430" s="463" t="s">
        <v>1022</v>
      </c>
      <c r="E430" s="463"/>
      <c r="F430" s="491"/>
      <c r="G430" s="491"/>
      <c r="H430" s="2633">
        <f t="shared" ref="H430:L432" si="74">H431</f>
        <v>0</v>
      </c>
      <c r="I430" s="2634">
        <f t="shared" si="74"/>
        <v>0</v>
      </c>
      <c r="J430" s="2621">
        <f t="shared" si="74"/>
        <v>0</v>
      </c>
      <c r="K430" s="2634">
        <f t="shared" si="74"/>
        <v>0</v>
      </c>
      <c r="L430" s="2621">
        <f t="shared" si="74"/>
        <v>0</v>
      </c>
      <c r="M430" s="1018"/>
      <c r="N430" s="1018"/>
    </row>
    <row r="431" spans="1:14" hidden="1" x14ac:dyDescent="0.2">
      <c r="A431" s="465" t="s">
        <v>469</v>
      </c>
      <c r="B431" s="156">
        <v>968</v>
      </c>
      <c r="C431" s="156">
        <v>503</v>
      </c>
      <c r="D431" s="156" t="s">
        <v>1022</v>
      </c>
      <c r="E431" s="156">
        <v>500</v>
      </c>
      <c r="F431" s="479"/>
      <c r="G431" s="479"/>
      <c r="H431" s="2607">
        <f t="shared" si="74"/>
        <v>0</v>
      </c>
      <c r="I431" s="2608">
        <f t="shared" si="74"/>
        <v>0</v>
      </c>
      <c r="J431" s="2607">
        <f t="shared" si="74"/>
        <v>0</v>
      </c>
      <c r="K431" s="2608">
        <f t="shared" si="74"/>
        <v>0</v>
      </c>
      <c r="L431" s="2607">
        <f t="shared" si="74"/>
        <v>0</v>
      </c>
      <c r="M431" s="1018"/>
      <c r="N431" s="1018"/>
    </row>
    <row r="432" spans="1:14" hidden="1" x14ac:dyDescent="0.2">
      <c r="A432" s="465" t="s">
        <v>380</v>
      </c>
      <c r="B432" s="156">
        <v>968</v>
      </c>
      <c r="C432" s="156">
        <v>503</v>
      </c>
      <c r="D432" s="156" t="s">
        <v>1022</v>
      </c>
      <c r="E432" s="156">
        <v>500</v>
      </c>
      <c r="F432" s="479"/>
      <c r="G432" s="479">
        <v>200</v>
      </c>
      <c r="H432" s="2607">
        <f t="shared" si="74"/>
        <v>0</v>
      </c>
      <c r="I432" s="2608">
        <f t="shared" si="74"/>
        <v>0</v>
      </c>
      <c r="J432" s="2607">
        <f>J433</f>
        <v>0</v>
      </c>
      <c r="K432" s="2608">
        <f>K433</f>
        <v>0</v>
      </c>
      <c r="L432" s="2607">
        <f t="shared" si="74"/>
        <v>0</v>
      </c>
      <c r="M432" s="1018"/>
      <c r="N432" s="1018"/>
    </row>
    <row r="433" spans="1:14" ht="13.5" hidden="1" thickBot="1" x14ac:dyDescent="0.25">
      <c r="A433" s="739" t="s">
        <v>383</v>
      </c>
      <c r="B433" s="740">
        <v>968</v>
      </c>
      <c r="C433" s="740">
        <v>503</v>
      </c>
      <c r="D433" s="740" t="s">
        <v>1022</v>
      </c>
      <c r="E433" s="740">
        <v>500</v>
      </c>
      <c r="F433" s="741"/>
      <c r="G433" s="741">
        <v>226</v>
      </c>
      <c r="H433" s="2611">
        <f>SUM(I433:L433)</f>
        <v>0</v>
      </c>
      <c r="I433" s="2612">
        <v>0</v>
      </c>
      <c r="J433" s="2611">
        <v>0</v>
      </c>
      <c r="K433" s="2612">
        <v>0</v>
      </c>
      <c r="L433" s="2611">
        <v>0</v>
      </c>
      <c r="M433" s="1018"/>
      <c r="N433" s="1018"/>
    </row>
    <row r="434" spans="1:14" ht="15.75" hidden="1" thickBot="1" x14ac:dyDescent="0.25">
      <c r="A434" s="747" t="s">
        <v>817</v>
      </c>
      <c r="B434" s="748">
        <v>968</v>
      </c>
      <c r="C434" s="748">
        <v>600</v>
      </c>
      <c r="D434" s="748"/>
      <c r="E434" s="748"/>
      <c r="F434" s="749"/>
      <c r="G434" s="749"/>
      <c r="H434" s="2615">
        <f>SUM(I434:L434)</f>
        <v>0</v>
      </c>
      <c r="I434" s="2635">
        <f t="shared" ref="H434:L438" si="75">I435</f>
        <v>0</v>
      </c>
      <c r="J434" s="2615">
        <f t="shared" si="75"/>
        <v>0</v>
      </c>
      <c r="K434" s="2635">
        <f t="shared" si="75"/>
        <v>0</v>
      </c>
      <c r="L434" s="2615">
        <f t="shared" si="75"/>
        <v>0</v>
      </c>
      <c r="M434" s="1018"/>
      <c r="N434" s="1018"/>
    </row>
    <row r="435" spans="1:14" ht="15" hidden="1" customHeight="1" x14ac:dyDescent="0.2">
      <c r="A435" s="752" t="s">
        <v>820</v>
      </c>
      <c r="B435" s="753">
        <v>968</v>
      </c>
      <c r="C435" s="753">
        <v>605</v>
      </c>
      <c r="D435" s="753"/>
      <c r="E435" s="753"/>
      <c r="F435" s="754"/>
      <c r="G435" s="754"/>
      <c r="H435" s="2636">
        <f>SUM(I435:L435)</f>
        <v>0</v>
      </c>
      <c r="I435" s="2637">
        <f t="shared" si="75"/>
        <v>0</v>
      </c>
      <c r="J435" s="2637">
        <f t="shared" si="75"/>
        <v>0</v>
      </c>
      <c r="K435" s="2637">
        <f t="shared" si="75"/>
        <v>0</v>
      </c>
      <c r="L435" s="2636">
        <f t="shared" si="75"/>
        <v>0</v>
      </c>
      <c r="M435" s="1018"/>
      <c r="N435" s="1018"/>
    </row>
    <row r="436" spans="1:14" ht="25.5" hidden="1" customHeight="1" x14ac:dyDescent="0.2">
      <c r="A436" s="487" t="s">
        <v>821</v>
      </c>
      <c r="B436" s="166">
        <v>968</v>
      </c>
      <c r="C436" s="166">
        <v>605</v>
      </c>
      <c r="D436" s="166" t="s">
        <v>822</v>
      </c>
      <c r="E436" s="166"/>
      <c r="F436" s="482"/>
      <c r="G436" s="482"/>
      <c r="H436" s="2598">
        <f t="shared" si="75"/>
        <v>0</v>
      </c>
      <c r="I436" s="2599">
        <f t="shared" si="75"/>
        <v>0</v>
      </c>
      <c r="J436" s="2598">
        <f t="shared" si="75"/>
        <v>0</v>
      </c>
      <c r="K436" s="2599">
        <f t="shared" si="75"/>
        <v>0</v>
      </c>
      <c r="L436" s="2598">
        <f t="shared" si="75"/>
        <v>0</v>
      </c>
      <c r="M436" s="1018"/>
      <c r="N436" s="1018"/>
    </row>
    <row r="437" spans="1:14" hidden="1" x14ac:dyDescent="0.2">
      <c r="A437" s="1278" t="s">
        <v>1201</v>
      </c>
      <c r="B437" s="1285">
        <v>968</v>
      </c>
      <c r="C437" s="1285">
        <v>605</v>
      </c>
      <c r="D437" s="1285" t="s">
        <v>822</v>
      </c>
      <c r="E437" s="1285">
        <v>500</v>
      </c>
      <c r="F437" s="1279">
        <v>244</v>
      </c>
      <c r="G437" s="1279"/>
      <c r="H437" s="2602">
        <f t="shared" si="75"/>
        <v>0</v>
      </c>
      <c r="I437" s="2603">
        <f t="shared" si="75"/>
        <v>0</v>
      </c>
      <c r="J437" s="2602">
        <f t="shared" si="75"/>
        <v>0</v>
      </c>
      <c r="K437" s="2603">
        <f t="shared" si="75"/>
        <v>0</v>
      </c>
      <c r="L437" s="2602">
        <f t="shared" si="75"/>
        <v>0</v>
      </c>
      <c r="M437" s="1018"/>
      <c r="N437" s="1018"/>
    </row>
    <row r="438" spans="1:14" hidden="1" x14ac:dyDescent="0.2">
      <c r="A438" s="465" t="s">
        <v>380</v>
      </c>
      <c r="B438" s="156">
        <v>968</v>
      </c>
      <c r="C438" s="156">
        <v>605</v>
      </c>
      <c r="D438" s="156" t="s">
        <v>822</v>
      </c>
      <c r="E438" s="156">
        <v>500</v>
      </c>
      <c r="F438" s="479">
        <v>244</v>
      </c>
      <c r="G438" s="479">
        <v>200</v>
      </c>
      <c r="H438" s="2607">
        <f t="shared" si="75"/>
        <v>0</v>
      </c>
      <c r="I438" s="2608">
        <f t="shared" si="75"/>
        <v>0</v>
      </c>
      <c r="J438" s="2607">
        <f t="shared" si="75"/>
        <v>0</v>
      </c>
      <c r="K438" s="2608">
        <f t="shared" si="75"/>
        <v>0</v>
      </c>
      <c r="L438" s="2607">
        <f t="shared" si="75"/>
        <v>0</v>
      </c>
      <c r="M438" s="1018"/>
      <c r="N438" s="1018"/>
    </row>
    <row r="439" spans="1:14" ht="13.5" hidden="1" thickBot="1" x14ac:dyDescent="0.25">
      <c r="A439" s="739" t="s">
        <v>383</v>
      </c>
      <c r="B439" s="740">
        <v>968</v>
      </c>
      <c r="C439" s="740">
        <v>605</v>
      </c>
      <c r="D439" s="740" t="s">
        <v>822</v>
      </c>
      <c r="E439" s="740">
        <v>500</v>
      </c>
      <c r="F439" s="741">
        <v>244</v>
      </c>
      <c r="G439" s="741">
        <v>226</v>
      </c>
      <c r="H439" s="2611">
        <f t="shared" ref="H439:H448" si="76">SUM(I439:L439)</f>
        <v>0</v>
      </c>
      <c r="I439" s="2612">
        <v>0</v>
      </c>
      <c r="J439" s="2611">
        <v>0</v>
      </c>
      <c r="K439" s="2612">
        <v>0</v>
      </c>
      <c r="L439" s="2611">
        <f>15-15</f>
        <v>0</v>
      </c>
      <c r="M439" s="1018"/>
      <c r="N439" s="1018"/>
    </row>
    <row r="440" spans="1:14" ht="15.75" customHeight="1" thickBot="1" x14ac:dyDescent="0.25">
      <c r="A440" s="747" t="s">
        <v>290</v>
      </c>
      <c r="B440" s="748">
        <v>968</v>
      </c>
      <c r="C440" s="748">
        <v>700</v>
      </c>
      <c r="D440" s="748"/>
      <c r="E440" s="748"/>
      <c r="F440" s="749"/>
      <c r="G440" s="749"/>
      <c r="H440" s="2655">
        <f t="shared" si="76"/>
        <v>4271.1000000000004</v>
      </c>
      <c r="I440" s="2654">
        <f>I441+I454+I490</f>
        <v>929.59</v>
      </c>
      <c r="J440" s="2654">
        <f>J441+J454+J490</f>
        <v>1858.8400000000001</v>
      </c>
      <c r="K440" s="2654">
        <f>K441+K454+K490</f>
        <v>1326.9</v>
      </c>
      <c r="L440" s="2655">
        <f>L441+L454+L490</f>
        <v>155.77000000000001</v>
      </c>
      <c r="M440" s="1018"/>
      <c r="N440" s="1018"/>
    </row>
    <row r="441" spans="1:14" ht="15.75" customHeight="1" x14ac:dyDescent="0.2">
      <c r="A441" s="752" t="s">
        <v>1191</v>
      </c>
      <c r="B441" s="744">
        <v>968</v>
      </c>
      <c r="C441" s="744">
        <v>705</v>
      </c>
      <c r="D441" s="744"/>
      <c r="E441" s="744"/>
      <c r="F441" s="745"/>
      <c r="G441" s="745"/>
      <c r="H441" s="2652">
        <f t="shared" si="76"/>
        <v>255</v>
      </c>
      <c r="I441" s="2652">
        <f t="shared" ref="I441:L442" si="77">I442</f>
        <v>56.6</v>
      </c>
      <c r="J441" s="2652">
        <f t="shared" si="77"/>
        <v>36.000000000000007</v>
      </c>
      <c r="K441" s="2652">
        <f t="shared" si="77"/>
        <v>162.4</v>
      </c>
      <c r="L441" s="2652">
        <f t="shared" si="77"/>
        <v>0</v>
      </c>
      <c r="M441" s="1018"/>
      <c r="N441" s="1018"/>
    </row>
    <row r="442" spans="1:14" ht="15.75" customHeight="1" x14ac:dyDescent="0.2">
      <c r="A442" s="487" t="s">
        <v>1224</v>
      </c>
      <c r="B442" s="166">
        <v>968</v>
      </c>
      <c r="C442" s="166">
        <v>705</v>
      </c>
      <c r="D442" s="166" t="s">
        <v>1198</v>
      </c>
      <c r="E442" s="166"/>
      <c r="F442" s="482"/>
      <c r="G442" s="482"/>
      <c r="H442" s="832">
        <f t="shared" si="76"/>
        <v>255</v>
      </c>
      <c r="I442" s="832">
        <f t="shared" si="77"/>
        <v>56.6</v>
      </c>
      <c r="J442" s="832">
        <f t="shared" si="77"/>
        <v>36.000000000000007</v>
      </c>
      <c r="K442" s="832">
        <f t="shared" si="77"/>
        <v>162.4</v>
      </c>
      <c r="L442" s="832">
        <f t="shared" si="77"/>
        <v>0</v>
      </c>
      <c r="M442" s="1018"/>
      <c r="N442" s="1018"/>
    </row>
    <row r="443" spans="1:14" ht="38.25" customHeight="1" x14ac:dyDescent="0.2">
      <c r="A443" s="487" t="s">
        <v>1491</v>
      </c>
      <c r="B443" s="166">
        <v>968</v>
      </c>
      <c r="C443" s="166">
        <v>705</v>
      </c>
      <c r="D443" s="166" t="s">
        <v>1225</v>
      </c>
      <c r="E443" s="166"/>
      <c r="F443" s="482"/>
      <c r="G443" s="482"/>
      <c r="H443" s="832">
        <f t="shared" si="76"/>
        <v>255</v>
      </c>
      <c r="I443" s="959">
        <f>I444+I449</f>
        <v>56.6</v>
      </c>
      <c r="J443" s="959">
        <f>J444+J449</f>
        <v>36.000000000000007</v>
      </c>
      <c r="K443" s="959">
        <f>K444+K449</f>
        <v>162.4</v>
      </c>
      <c r="L443" s="832">
        <f>L444+L449</f>
        <v>0</v>
      </c>
      <c r="M443" s="1018"/>
      <c r="N443" s="1018"/>
    </row>
    <row r="444" spans="1:14" ht="37.5" customHeight="1" x14ac:dyDescent="0.2">
      <c r="A444" s="487" t="s">
        <v>1492</v>
      </c>
      <c r="B444" s="166">
        <v>968</v>
      </c>
      <c r="C444" s="166">
        <v>705</v>
      </c>
      <c r="D444" s="166" t="s">
        <v>1200</v>
      </c>
      <c r="E444" s="166"/>
      <c r="F444" s="482"/>
      <c r="G444" s="482"/>
      <c r="H444" s="832">
        <f t="shared" si="76"/>
        <v>17</v>
      </c>
      <c r="I444" s="959">
        <f t="shared" ref="I444:L445" si="78">I445</f>
        <v>0</v>
      </c>
      <c r="J444" s="959">
        <f t="shared" si="78"/>
        <v>0</v>
      </c>
      <c r="K444" s="959">
        <f t="shared" si="78"/>
        <v>17</v>
      </c>
      <c r="L444" s="959">
        <f t="shared" si="78"/>
        <v>0</v>
      </c>
      <c r="M444" s="1018"/>
      <c r="N444" s="1018"/>
    </row>
    <row r="445" spans="1:14" ht="17.25" customHeight="1" x14ac:dyDescent="0.2">
      <c r="A445" s="487" t="s">
        <v>1357</v>
      </c>
      <c r="B445" s="1285">
        <v>968</v>
      </c>
      <c r="C445" s="1285">
        <v>705</v>
      </c>
      <c r="D445" s="1285" t="s">
        <v>1200</v>
      </c>
      <c r="E445" s="1285">
        <v>500</v>
      </c>
      <c r="F445" s="1279">
        <v>200</v>
      </c>
      <c r="G445" s="482"/>
      <c r="H445" s="832">
        <f t="shared" si="76"/>
        <v>17</v>
      </c>
      <c r="I445" s="959">
        <f t="shared" si="78"/>
        <v>0</v>
      </c>
      <c r="J445" s="959">
        <f t="shared" si="78"/>
        <v>0</v>
      </c>
      <c r="K445" s="959">
        <f t="shared" si="78"/>
        <v>17</v>
      </c>
      <c r="L445" s="959">
        <f t="shared" si="78"/>
        <v>0</v>
      </c>
      <c r="M445" s="1018"/>
      <c r="N445" s="1018"/>
    </row>
    <row r="446" spans="1:14" ht="15.75" customHeight="1" x14ac:dyDescent="0.2">
      <c r="A446" s="1278" t="s">
        <v>1201</v>
      </c>
      <c r="B446" s="1285">
        <v>968</v>
      </c>
      <c r="C446" s="1285">
        <v>705</v>
      </c>
      <c r="D446" s="1285" t="s">
        <v>1200</v>
      </c>
      <c r="E446" s="1285">
        <v>500</v>
      </c>
      <c r="F446" s="1279">
        <v>244</v>
      </c>
      <c r="G446" s="1279"/>
      <c r="H446" s="1286">
        <f t="shared" si="76"/>
        <v>17</v>
      </c>
      <c r="I446" s="1286">
        <f t="shared" ref="I446:L447" si="79">I447</f>
        <v>0</v>
      </c>
      <c r="J446" s="1286">
        <f t="shared" si="79"/>
        <v>0</v>
      </c>
      <c r="K446" s="1286">
        <f t="shared" si="79"/>
        <v>17</v>
      </c>
      <c r="L446" s="1286">
        <f t="shared" si="79"/>
        <v>0</v>
      </c>
      <c r="M446" s="1018"/>
      <c r="N446" s="1018"/>
    </row>
    <row r="447" spans="1:14" ht="15.75" customHeight="1" x14ac:dyDescent="0.2">
      <c r="A447" s="465" t="s">
        <v>380</v>
      </c>
      <c r="B447" s="156">
        <v>968</v>
      </c>
      <c r="C447" s="156">
        <v>705</v>
      </c>
      <c r="D447" s="156" t="s">
        <v>1200</v>
      </c>
      <c r="E447" s="156">
        <v>500</v>
      </c>
      <c r="F447" s="479">
        <v>244</v>
      </c>
      <c r="G447" s="479">
        <v>200</v>
      </c>
      <c r="H447" s="1804">
        <f t="shared" si="76"/>
        <v>17</v>
      </c>
      <c r="I447" s="1804">
        <f t="shared" si="79"/>
        <v>0</v>
      </c>
      <c r="J447" s="1804">
        <f t="shared" si="79"/>
        <v>0</v>
      </c>
      <c r="K447" s="1804">
        <f t="shared" si="79"/>
        <v>17</v>
      </c>
      <c r="L447" s="1804">
        <f t="shared" si="79"/>
        <v>0</v>
      </c>
      <c r="M447" s="1018"/>
      <c r="N447" s="1018"/>
    </row>
    <row r="448" spans="1:14" ht="15.75" customHeight="1" x14ac:dyDescent="0.2">
      <c r="A448" s="468" t="s">
        <v>383</v>
      </c>
      <c r="B448" s="475">
        <v>968</v>
      </c>
      <c r="C448" s="475">
        <v>705</v>
      </c>
      <c r="D448" s="475" t="s">
        <v>1200</v>
      </c>
      <c r="E448" s="475">
        <v>500</v>
      </c>
      <c r="F448" s="481">
        <v>244</v>
      </c>
      <c r="G448" s="481">
        <v>226</v>
      </c>
      <c r="H448" s="1802">
        <f t="shared" si="76"/>
        <v>17</v>
      </c>
      <c r="I448" s="1803">
        <f>17-17</f>
        <v>0</v>
      </c>
      <c r="J448" s="1802">
        <f>17-17</f>
        <v>0</v>
      </c>
      <c r="K448" s="1803">
        <v>17</v>
      </c>
      <c r="L448" s="1802">
        <v>0</v>
      </c>
      <c r="M448" s="1018"/>
      <c r="N448" s="1018"/>
    </row>
    <row r="449" spans="1:14" ht="25.5" customHeight="1" x14ac:dyDescent="0.2">
      <c r="A449" s="487" t="s">
        <v>1493</v>
      </c>
      <c r="B449" s="166">
        <v>968</v>
      </c>
      <c r="C449" s="166">
        <v>705</v>
      </c>
      <c r="D449" s="166" t="s">
        <v>1223</v>
      </c>
      <c r="E449" s="166"/>
      <c r="F449" s="482"/>
      <c r="G449" s="482"/>
      <c r="H449" s="832">
        <f>H451</f>
        <v>238</v>
      </c>
      <c r="I449" s="959">
        <f t="shared" ref="I449:L450" si="80">I450</f>
        <v>56.6</v>
      </c>
      <c r="J449" s="959">
        <f t="shared" si="80"/>
        <v>36.000000000000007</v>
      </c>
      <c r="K449" s="959">
        <f t="shared" si="80"/>
        <v>145.4</v>
      </c>
      <c r="L449" s="832">
        <f t="shared" si="80"/>
        <v>0</v>
      </c>
      <c r="M449" s="1018"/>
      <c r="N449" s="1018"/>
    </row>
    <row r="450" spans="1:14" ht="15" customHeight="1" x14ac:dyDescent="0.2">
      <c r="A450" s="487" t="s">
        <v>1357</v>
      </c>
      <c r="B450" s="1285">
        <v>968</v>
      </c>
      <c r="C450" s="1285">
        <v>705</v>
      </c>
      <c r="D450" s="1285" t="s">
        <v>1223</v>
      </c>
      <c r="E450" s="1285">
        <v>500</v>
      </c>
      <c r="F450" s="1279">
        <v>200</v>
      </c>
      <c r="G450" s="482"/>
      <c r="H450" s="832">
        <f>SUM(I450:L450)</f>
        <v>238</v>
      </c>
      <c r="I450" s="959">
        <f t="shared" si="80"/>
        <v>56.6</v>
      </c>
      <c r="J450" s="959">
        <f t="shared" si="80"/>
        <v>36.000000000000007</v>
      </c>
      <c r="K450" s="959">
        <f t="shared" si="80"/>
        <v>145.4</v>
      </c>
      <c r="L450" s="832">
        <f t="shared" si="80"/>
        <v>0</v>
      </c>
      <c r="M450" s="1018"/>
      <c r="N450" s="1018"/>
    </row>
    <row r="451" spans="1:14" ht="15.75" customHeight="1" x14ac:dyDescent="0.2">
      <c r="A451" s="1278" t="s">
        <v>1201</v>
      </c>
      <c r="B451" s="1285">
        <v>968</v>
      </c>
      <c r="C451" s="1285">
        <v>705</v>
      </c>
      <c r="D451" s="1285" t="s">
        <v>1223</v>
      </c>
      <c r="E451" s="1285">
        <v>500</v>
      </c>
      <c r="F451" s="1279">
        <v>244</v>
      </c>
      <c r="G451" s="1279"/>
      <c r="H451" s="1286">
        <f>SUM(I451:L451)</f>
        <v>238</v>
      </c>
      <c r="I451" s="1286">
        <f t="shared" ref="I451:L452" si="81">I452</f>
        <v>56.6</v>
      </c>
      <c r="J451" s="1286">
        <f t="shared" si="81"/>
        <v>36.000000000000007</v>
      </c>
      <c r="K451" s="1286">
        <f t="shared" si="81"/>
        <v>145.4</v>
      </c>
      <c r="L451" s="1286">
        <f t="shared" si="81"/>
        <v>0</v>
      </c>
      <c r="M451" s="1018"/>
      <c r="N451" s="1018"/>
    </row>
    <row r="452" spans="1:14" ht="15.75" customHeight="1" x14ac:dyDescent="0.2">
      <c r="A452" s="465" t="s">
        <v>380</v>
      </c>
      <c r="B452" s="156">
        <v>968</v>
      </c>
      <c r="C452" s="156">
        <v>705</v>
      </c>
      <c r="D452" s="156" t="s">
        <v>1223</v>
      </c>
      <c r="E452" s="156">
        <v>500</v>
      </c>
      <c r="F452" s="479">
        <v>244</v>
      </c>
      <c r="G452" s="479">
        <v>200</v>
      </c>
      <c r="H452" s="1804">
        <f>SUM(I452:L452)</f>
        <v>238</v>
      </c>
      <c r="I452" s="1804">
        <f t="shared" si="81"/>
        <v>56.6</v>
      </c>
      <c r="J452" s="1804">
        <f t="shared" si="81"/>
        <v>36.000000000000007</v>
      </c>
      <c r="K452" s="1804">
        <f t="shared" si="81"/>
        <v>145.4</v>
      </c>
      <c r="L452" s="1804">
        <f t="shared" si="81"/>
        <v>0</v>
      </c>
      <c r="M452" s="1018"/>
      <c r="N452" s="1018"/>
    </row>
    <row r="453" spans="1:14" ht="15.75" customHeight="1" thickBot="1" x14ac:dyDescent="0.25">
      <c r="A453" s="1036" t="s">
        <v>383</v>
      </c>
      <c r="B453" s="1037">
        <v>968</v>
      </c>
      <c r="C453" s="1037">
        <v>705</v>
      </c>
      <c r="D453" s="1037" t="s">
        <v>1223</v>
      </c>
      <c r="E453" s="1037">
        <v>500</v>
      </c>
      <c r="F453" s="1038">
        <v>244</v>
      </c>
      <c r="G453" s="1038">
        <v>226</v>
      </c>
      <c r="H453" s="2653">
        <f>SUM(I453:L453)</f>
        <v>238</v>
      </c>
      <c r="I453" s="2648">
        <f>68-11.4</f>
        <v>56.6</v>
      </c>
      <c r="J453" s="2653">
        <f>85+11.4-60.4</f>
        <v>36.000000000000007</v>
      </c>
      <c r="K453" s="2648">
        <f>85+60.4</f>
        <v>145.4</v>
      </c>
      <c r="L453" s="2653">
        <v>0</v>
      </c>
      <c r="M453" s="1018"/>
      <c r="N453" s="1018"/>
    </row>
    <row r="454" spans="1:14" ht="16.5" customHeight="1" x14ac:dyDescent="0.2">
      <c r="A454" s="752" t="s">
        <v>411</v>
      </c>
      <c r="B454" s="744">
        <v>968</v>
      </c>
      <c r="C454" s="744">
        <v>707</v>
      </c>
      <c r="D454" s="744"/>
      <c r="E454" s="744"/>
      <c r="F454" s="745"/>
      <c r="G454" s="745"/>
      <c r="H454" s="2652">
        <f>SUM(I454:L454)</f>
        <v>3879.6000000000004</v>
      </c>
      <c r="I454" s="2651">
        <f>I455+I461+I466+I474+I483</f>
        <v>872.99</v>
      </c>
      <c r="J454" s="2651">
        <f>J455+J461+J466+J474+J483</f>
        <v>1739.8300000000002</v>
      </c>
      <c r="K454" s="2651">
        <f>K455+K461+K466+K474+K483</f>
        <v>1134.5</v>
      </c>
      <c r="L454" s="2651">
        <f>L455+L461+L466+L474+L483</f>
        <v>132.28</v>
      </c>
      <c r="M454" s="1018"/>
      <c r="N454" s="1018"/>
    </row>
    <row r="455" spans="1:14" ht="26.25" customHeight="1" x14ac:dyDescent="0.2">
      <c r="A455" s="487" t="str">
        <f>Пцс!B48</f>
        <v xml:space="preserve">Ведомственная целевая программа по участию в реализации мер по профилактике дорожно-транспортного травматизма на территории МО </v>
      </c>
      <c r="B455" s="166">
        <v>968</v>
      </c>
      <c r="C455" s="166">
        <v>707</v>
      </c>
      <c r="D455" s="166" t="str">
        <f>Пцс!C48</f>
        <v>795 01 00</v>
      </c>
      <c r="E455" s="166"/>
      <c r="F455" s="482"/>
      <c r="G455" s="482"/>
      <c r="H455" s="832">
        <f>H457</f>
        <v>877.5</v>
      </c>
      <c r="I455" s="832">
        <f t="shared" ref="I455:L457" si="82">I456</f>
        <v>10</v>
      </c>
      <c r="J455" s="832">
        <f t="shared" si="82"/>
        <v>248</v>
      </c>
      <c r="K455" s="832">
        <f t="shared" si="82"/>
        <v>619.5</v>
      </c>
      <c r="L455" s="832">
        <f t="shared" si="82"/>
        <v>0</v>
      </c>
      <c r="M455" s="1018"/>
      <c r="N455" s="1018"/>
    </row>
    <row r="456" spans="1:14" ht="16.5" customHeight="1" x14ac:dyDescent="0.2">
      <c r="A456" s="487" t="s">
        <v>1357</v>
      </c>
      <c r="B456" s="1285">
        <v>968</v>
      </c>
      <c r="C456" s="1285">
        <v>707</v>
      </c>
      <c r="D456" s="1285" t="str">
        <f>D457</f>
        <v>795 01 00</v>
      </c>
      <c r="E456" s="1285">
        <v>500</v>
      </c>
      <c r="F456" s="1279">
        <v>200</v>
      </c>
      <c r="G456" s="482"/>
      <c r="H456" s="832">
        <f t="shared" ref="H456:H462" si="83">SUM(I456:L456)</f>
        <v>877.5</v>
      </c>
      <c r="I456" s="959">
        <f t="shared" si="82"/>
        <v>10</v>
      </c>
      <c r="J456" s="959">
        <f t="shared" si="82"/>
        <v>248</v>
      </c>
      <c r="K456" s="959">
        <f t="shared" si="82"/>
        <v>619.5</v>
      </c>
      <c r="L456" s="832">
        <f t="shared" si="82"/>
        <v>0</v>
      </c>
      <c r="M456" s="1018"/>
      <c r="N456" s="1018"/>
    </row>
    <row r="457" spans="1:14" ht="16.5" customHeight="1" x14ac:dyDescent="0.2">
      <c r="A457" s="1278" t="s">
        <v>1201</v>
      </c>
      <c r="B457" s="1285">
        <v>968</v>
      </c>
      <c r="C457" s="1285">
        <v>707</v>
      </c>
      <c r="D457" s="1285" t="str">
        <f>D458</f>
        <v>795 01 00</v>
      </c>
      <c r="E457" s="1285">
        <v>500</v>
      </c>
      <c r="F457" s="1279">
        <v>244</v>
      </c>
      <c r="G457" s="1279"/>
      <c r="H457" s="1286">
        <f t="shared" si="83"/>
        <v>877.5</v>
      </c>
      <c r="I457" s="1287">
        <f>I458</f>
        <v>10</v>
      </c>
      <c r="J457" s="1287">
        <f t="shared" si="82"/>
        <v>248</v>
      </c>
      <c r="K457" s="1287">
        <f t="shared" si="82"/>
        <v>619.5</v>
      </c>
      <c r="L457" s="1287">
        <f t="shared" si="82"/>
        <v>0</v>
      </c>
      <c r="M457" s="1018"/>
      <c r="N457" s="1018"/>
    </row>
    <row r="458" spans="1:14" ht="16.5" customHeight="1" x14ac:dyDescent="0.2">
      <c r="A458" s="465" t="s">
        <v>380</v>
      </c>
      <c r="B458" s="156">
        <v>968</v>
      </c>
      <c r="C458" s="156">
        <v>707</v>
      </c>
      <c r="D458" s="156" t="str">
        <f>D459</f>
        <v>795 01 00</v>
      </c>
      <c r="E458" s="156">
        <v>500</v>
      </c>
      <c r="F458" s="479">
        <v>244</v>
      </c>
      <c r="G458" s="479">
        <v>200</v>
      </c>
      <c r="H458" s="1804">
        <f t="shared" si="83"/>
        <v>877.5</v>
      </c>
      <c r="I458" s="1804">
        <f>I459+I460</f>
        <v>10</v>
      </c>
      <c r="J458" s="1804">
        <f>J459+J460</f>
        <v>248</v>
      </c>
      <c r="K458" s="1804">
        <f>K459+K460</f>
        <v>619.5</v>
      </c>
      <c r="L458" s="1804">
        <f>L459+L460</f>
        <v>0</v>
      </c>
      <c r="M458" s="1018"/>
      <c r="N458" s="1018"/>
    </row>
    <row r="459" spans="1:14" ht="16.5" customHeight="1" thickBot="1" x14ac:dyDescent="0.25">
      <c r="A459" s="739" t="s">
        <v>383</v>
      </c>
      <c r="B459" s="740">
        <v>968</v>
      </c>
      <c r="C459" s="740">
        <v>707</v>
      </c>
      <c r="D459" s="740" t="str">
        <f>D460</f>
        <v>795 01 00</v>
      </c>
      <c r="E459" s="740">
        <v>500</v>
      </c>
      <c r="F459" s="741">
        <v>244</v>
      </c>
      <c r="G459" s="741">
        <v>226</v>
      </c>
      <c r="H459" s="2587">
        <f t="shared" si="83"/>
        <v>538</v>
      </c>
      <c r="I459" s="2588">
        <f>30-20</f>
        <v>10</v>
      </c>
      <c r="J459" s="2587">
        <f>250+150-152</f>
        <v>248</v>
      </c>
      <c r="K459" s="2648">
        <f>140+140</f>
        <v>280</v>
      </c>
      <c r="L459" s="2587">
        <v>0</v>
      </c>
      <c r="M459" s="1018"/>
      <c r="N459" s="1018"/>
    </row>
    <row r="460" spans="1:14" ht="16.5" customHeight="1" x14ac:dyDescent="0.2">
      <c r="A460" s="467" t="s">
        <v>278</v>
      </c>
      <c r="B460" s="1260">
        <v>968</v>
      </c>
      <c r="C460" s="1260">
        <v>707</v>
      </c>
      <c r="D460" s="1260" t="str">
        <f>Пцс!C48</f>
        <v>795 01 00</v>
      </c>
      <c r="E460" s="1260">
        <v>500</v>
      </c>
      <c r="F460" s="1261">
        <v>244</v>
      </c>
      <c r="G460" s="1261">
        <v>290</v>
      </c>
      <c r="H460" s="2587">
        <f t="shared" si="83"/>
        <v>339.5</v>
      </c>
      <c r="I460" s="2588">
        <v>0</v>
      </c>
      <c r="J460" s="2587">
        <v>0</v>
      </c>
      <c r="K460" s="2588">
        <f>327.5+12</f>
        <v>339.5</v>
      </c>
      <c r="L460" s="2587">
        <v>0</v>
      </c>
      <c r="M460" s="1018"/>
      <c r="N460" s="1018"/>
    </row>
    <row r="461" spans="1:14" ht="36.75" customHeight="1" x14ac:dyDescent="0.2">
      <c r="A461" s="487" t="str">
        <f>Пцс!B51</f>
        <v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461" s="166">
        <v>968</v>
      </c>
      <c r="C461" s="166">
        <v>707</v>
      </c>
      <c r="D461" s="166" t="str">
        <f>Пцс!C51</f>
        <v>795 04 00</v>
      </c>
      <c r="E461" s="166"/>
      <c r="F461" s="482"/>
      <c r="G461" s="482"/>
      <c r="H461" s="832">
        <f t="shared" si="83"/>
        <v>185</v>
      </c>
      <c r="I461" s="959">
        <f t="shared" ref="I461:L462" si="84">I462</f>
        <v>10.99</v>
      </c>
      <c r="J461" s="959">
        <f t="shared" si="84"/>
        <v>100.99000000000001</v>
      </c>
      <c r="K461" s="959">
        <f t="shared" si="84"/>
        <v>15</v>
      </c>
      <c r="L461" s="832">
        <f t="shared" si="84"/>
        <v>58.019999999999996</v>
      </c>
      <c r="M461" s="1018"/>
      <c r="N461" s="1018"/>
    </row>
    <row r="462" spans="1:14" ht="16.5" customHeight="1" x14ac:dyDescent="0.2">
      <c r="A462" s="487" t="s">
        <v>1357</v>
      </c>
      <c r="B462" s="1285">
        <v>968</v>
      </c>
      <c r="C462" s="1285">
        <v>707</v>
      </c>
      <c r="D462" s="1285" t="str">
        <f>D463</f>
        <v>795 04 00</v>
      </c>
      <c r="E462" s="1285">
        <v>500</v>
      </c>
      <c r="F462" s="1279">
        <v>200</v>
      </c>
      <c r="G462" s="482"/>
      <c r="H462" s="832">
        <f t="shared" si="83"/>
        <v>185</v>
      </c>
      <c r="I462" s="959">
        <f t="shared" si="84"/>
        <v>10.99</v>
      </c>
      <c r="J462" s="959">
        <f t="shared" si="84"/>
        <v>100.99000000000001</v>
      </c>
      <c r="K462" s="959">
        <f t="shared" si="84"/>
        <v>15</v>
      </c>
      <c r="L462" s="832">
        <f t="shared" si="84"/>
        <v>58.019999999999996</v>
      </c>
      <c r="M462" s="1018"/>
      <c r="N462" s="1018"/>
    </row>
    <row r="463" spans="1:14" ht="16.5" customHeight="1" x14ac:dyDescent="0.2">
      <c r="A463" s="1278" t="s">
        <v>1201</v>
      </c>
      <c r="B463" s="1285">
        <v>968</v>
      </c>
      <c r="C463" s="1285">
        <v>707</v>
      </c>
      <c r="D463" s="1285" t="str">
        <f>D464</f>
        <v>795 04 00</v>
      </c>
      <c r="E463" s="1285">
        <v>500</v>
      </c>
      <c r="F463" s="1279">
        <v>244</v>
      </c>
      <c r="G463" s="1279"/>
      <c r="H463" s="1286">
        <f>H464</f>
        <v>185</v>
      </c>
      <c r="I463" s="1287">
        <f>I464</f>
        <v>10.99</v>
      </c>
      <c r="J463" s="1287">
        <f>J464</f>
        <v>100.99000000000001</v>
      </c>
      <c r="K463" s="1287">
        <f>K464</f>
        <v>15</v>
      </c>
      <c r="L463" s="1286">
        <f>L464</f>
        <v>58.019999999999996</v>
      </c>
      <c r="M463" s="1018"/>
      <c r="N463" s="1018"/>
    </row>
    <row r="464" spans="1:14" ht="16.5" customHeight="1" x14ac:dyDescent="0.2">
      <c r="A464" s="465" t="s">
        <v>380</v>
      </c>
      <c r="B464" s="156">
        <v>968</v>
      </c>
      <c r="C464" s="156">
        <v>707</v>
      </c>
      <c r="D464" s="156" t="str">
        <f>D465</f>
        <v>795 04 00</v>
      </c>
      <c r="E464" s="156">
        <v>500</v>
      </c>
      <c r="F464" s="479">
        <v>244</v>
      </c>
      <c r="G464" s="479">
        <v>200</v>
      </c>
      <c r="H464" s="1804">
        <f>SUM(I464:L464)</f>
        <v>185</v>
      </c>
      <c r="I464" s="1804">
        <f>I465</f>
        <v>10.99</v>
      </c>
      <c r="J464" s="1804">
        <f>J465</f>
        <v>100.99000000000001</v>
      </c>
      <c r="K464" s="1804">
        <f>K465</f>
        <v>15</v>
      </c>
      <c r="L464" s="1804">
        <f>L465</f>
        <v>58.019999999999996</v>
      </c>
      <c r="M464" s="1018"/>
      <c r="N464" s="1018"/>
    </row>
    <row r="465" spans="1:14" ht="16.5" customHeight="1" x14ac:dyDescent="0.2">
      <c r="A465" s="739" t="s">
        <v>383</v>
      </c>
      <c r="B465" s="475">
        <v>968</v>
      </c>
      <c r="C465" s="475">
        <v>707</v>
      </c>
      <c r="D465" s="475" t="str">
        <f>D461</f>
        <v>795 04 00</v>
      </c>
      <c r="E465" s="475">
        <v>500</v>
      </c>
      <c r="F465" s="475">
        <v>244</v>
      </c>
      <c r="G465" s="475">
        <v>226</v>
      </c>
      <c r="H465" s="2571">
        <f>SUM(I465:L465)</f>
        <v>185</v>
      </c>
      <c r="I465" s="2571">
        <v>10.99</v>
      </c>
      <c r="J465" s="2571">
        <f>95+55.99-10.99-39.01</f>
        <v>100.99000000000001</v>
      </c>
      <c r="K465" s="2571">
        <f>15</f>
        <v>15</v>
      </c>
      <c r="L465" s="2645">
        <f>19.01+39.01</f>
        <v>58.019999999999996</v>
      </c>
      <c r="M465" s="1018"/>
      <c r="N465" s="1018"/>
    </row>
    <row r="466" spans="1:14" ht="24" customHeight="1" x14ac:dyDescent="0.2">
      <c r="A466" s="487" t="s">
        <v>1590</v>
      </c>
      <c r="B466" s="166">
        <v>968</v>
      </c>
      <c r="C466" s="166">
        <v>707</v>
      </c>
      <c r="D466" s="166" t="s">
        <v>1469</v>
      </c>
      <c r="E466" s="166"/>
      <c r="F466" s="482"/>
      <c r="G466" s="482"/>
      <c r="H466" s="832">
        <f>H468</f>
        <v>1106.2</v>
      </c>
      <c r="I466" s="959">
        <f t="shared" ref="I466:L467" si="85">I467</f>
        <v>60</v>
      </c>
      <c r="J466" s="959">
        <f t="shared" si="85"/>
        <v>546.20000000000005</v>
      </c>
      <c r="K466" s="959">
        <f t="shared" si="85"/>
        <v>500.00000000000006</v>
      </c>
      <c r="L466" s="832">
        <f t="shared" si="85"/>
        <v>0</v>
      </c>
      <c r="M466" s="1018"/>
      <c r="N466" s="1018"/>
    </row>
    <row r="467" spans="1:14" ht="17.25" customHeight="1" x14ac:dyDescent="0.2">
      <c r="A467" s="487" t="s">
        <v>1357</v>
      </c>
      <c r="B467" s="1285">
        <v>968</v>
      </c>
      <c r="C467" s="1285">
        <v>707</v>
      </c>
      <c r="D467" s="1285" t="s">
        <v>1469</v>
      </c>
      <c r="E467" s="1285">
        <v>500</v>
      </c>
      <c r="F467" s="1279">
        <v>200</v>
      </c>
      <c r="G467" s="482"/>
      <c r="H467" s="832">
        <f>SUM(I467:L467)</f>
        <v>1106.2</v>
      </c>
      <c r="I467" s="959">
        <f t="shared" si="85"/>
        <v>60</v>
      </c>
      <c r="J467" s="959">
        <f t="shared" si="85"/>
        <v>546.20000000000005</v>
      </c>
      <c r="K467" s="959">
        <f t="shared" si="85"/>
        <v>500.00000000000006</v>
      </c>
      <c r="L467" s="832">
        <f t="shared" si="85"/>
        <v>0</v>
      </c>
      <c r="M467" s="1018"/>
      <c r="N467" s="1018"/>
    </row>
    <row r="468" spans="1:14" x14ac:dyDescent="0.2">
      <c r="A468" s="1278" t="s">
        <v>1201</v>
      </c>
      <c r="B468" s="1285">
        <v>968</v>
      </c>
      <c r="C468" s="1285">
        <v>707</v>
      </c>
      <c r="D468" s="1285" t="s">
        <v>1469</v>
      </c>
      <c r="E468" s="1285">
        <v>500</v>
      </c>
      <c r="F468" s="1279">
        <v>244</v>
      </c>
      <c r="G468" s="1279"/>
      <c r="H468" s="1286">
        <f>H469+H472</f>
        <v>1106.2</v>
      </c>
      <c r="I468" s="1286">
        <f>I469+I472</f>
        <v>60</v>
      </c>
      <c r="J468" s="1286">
        <f>J469+J472</f>
        <v>546.20000000000005</v>
      </c>
      <c r="K468" s="1286">
        <f>K469+K472</f>
        <v>500.00000000000006</v>
      </c>
      <c r="L468" s="1286">
        <f>L469+L472</f>
        <v>0</v>
      </c>
      <c r="M468" s="1018"/>
      <c r="N468" s="1018"/>
    </row>
    <row r="469" spans="1:14" x14ac:dyDescent="0.2">
      <c r="A469" s="465" t="s">
        <v>380</v>
      </c>
      <c r="B469" s="156">
        <v>968</v>
      </c>
      <c r="C469" s="156">
        <v>707</v>
      </c>
      <c r="D469" s="156" t="s">
        <v>1469</v>
      </c>
      <c r="E469" s="156">
        <v>500</v>
      </c>
      <c r="F469" s="479">
        <v>244</v>
      </c>
      <c r="G469" s="479">
        <v>200</v>
      </c>
      <c r="H469" s="1804">
        <f>H470+H471</f>
        <v>1106.2</v>
      </c>
      <c r="I469" s="1804">
        <f>I470+I471</f>
        <v>60</v>
      </c>
      <c r="J469" s="1804">
        <f>J470+J471</f>
        <v>546.20000000000005</v>
      </c>
      <c r="K469" s="1805">
        <f>K470+K471</f>
        <v>500.00000000000006</v>
      </c>
      <c r="L469" s="1804">
        <f>L470+L471</f>
        <v>0</v>
      </c>
      <c r="M469" s="1018"/>
      <c r="N469" s="1018"/>
    </row>
    <row r="470" spans="1:14" ht="13.5" customHeight="1" x14ac:dyDescent="0.2">
      <c r="A470" s="468" t="s">
        <v>383</v>
      </c>
      <c r="B470" s="475">
        <v>968</v>
      </c>
      <c r="C470" s="475">
        <v>707</v>
      </c>
      <c r="D470" s="475" t="s">
        <v>1469</v>
      </c>
      <c r="E470" s="475">
        <v>500</v>
      </c>
      <c r="F470" s="481">
        <v>244</v>
      </c>
      <c r="G470" s="481">
        <v>226</v>
      </c>
      <c r="H470" s="1802">
        <f>SUM(I470:L470)</f>
        <v>1046.2</v>
      </c>
      <c r="I470" s="1803">
        <v>0</v>
      </c>
      <c r="J470" s="1802">
        <f>686.25-140.05</f>
        <v>546.20000000000005</v>
      </c>
      <c r="K470" s="1803">
        <f>799.2-299.2</f>
        <v>500.00000000000006</v>
      </c>
      <c r="L470" s="1802">
        <v>0</v>
      </c>
      <c r="M470" s="1018"/>
      <c r="N470" s="1018"/>
    </row>
    <row r="471" spans="1:14" ht="13.5" customHeight="1" x14ac:dyDescent="0.2">
      <c r="A471" s="467" t="s">
        <v>278</v>
      </c>
      <c r="B471" s="474">
        <v>968</v>
      </c>
      <c r="C471" s="474">
        <v>707</v>
      </c>
      <c r="D471" s="474" t="s">
        <v>1469</v>
      </c>
      <c r="E471" s="474">
        <v>500</v>
      </c>
      <c r="F471" s="480">
        <v>244</v>
      </c>
      <c r="G471" s="480">
        <v>290</v>
      </c>
      <c r="H471" s="2657">
        <f>SUM(I471:L471)</f>
        <v>60</v>
      </c>
      <c r="I471" s="2656">
        <v>60</v>
      </c>
      <c r="J471" s="2657">
        <v>0</v>
      </c>
      <c r="K471" s="2656">
        <v>0</v>
      </c>
      <c r="L471" s="2657">
        <v>0</v>
      </c>
      <c r="M471" s="1018"/>
      <c r="N471" s="1018"/>
    </row>
    <row r="472" spans="1:14" ht="13.5" hidden="1" customHeight="1" x14ac:dyDescent="0.2">
      <c r="A472" s="465" t="s">
        <v>384</v>
      </c>
      <c r="B472" s="156">
        <v>968</v>
      </c>
      <c r="C472" s="156">
        <v>707</v>
      </c>
      <c r="D472" s="156" t="s">
        <v>1469</v>
      </c>
      <c r="E472" s="156">
        <v>500</v>
      </c>
      <c r="F472" s="479">
        <v>244</v>
      </c>
      <c r="G472" s="755">
        <v>300</v>
      </c>
      <c r="H472" s="2605">
        <f>H473</f>
        <v>0</v>
      </c>
      <c r="I472" s="2605">
        <f>I473</f>
        <v>0</v>
      </c>
      <c r="J472" s="2605">
        <f>J473</f>
        <v>0</v>
      </c>
      <c r="K472" s="2605">
        <f>K473</f>
        <v>0</v>
      </c>
      <c r="L472" s="2605">
        <f>L473</f>
        <v>0</v>
      </c>
      <c r="M472" s="1018"/>
      <c r="N472" s="1018"/>
    </row>
    <row r="473" spans="1:14" ht="13.5" hidden="1" customHeight="1" x14ac:dyDescent="0.2">
      <c r="A473" s="468" t="s">
        <v>279</v>
      </c>
      <c r="B473" s="475">
        <v>968</v>
      </c>
      <c r="C473" s="475">
        <v>707</v>
      </c>
      <c r="D473" s="475" t="s">
        <v>1469</v>
      </c>
      <c r="E473" s="475">
        <v>500</v>
      </c>
      <c r="F473" s="481">
        <v>244</v>
      </c>
      <c r="G473" s="481">
        <v>310</v>
      </c>
      <c r="H473" s="2605">
        <f>SUM(I473:L473)</f>
        <v>0</v>
      </c>
      <c r="I473" s="2606">
        <v>0</v>
      </c>
      <c r="J473" s="2605">
        <v>0</v>
      </c>
      <c r="K473" s="2606">
        <v>0</v>
      </c>
      <c r="L473" s="2605">
        <v>0</v>
      </c>
      <c r="M473" s="1018"/>
      <c r="N473" s="1018"/>
    </row>
    <row r="474" spans="1:14" ht="26.25" customHeight="1" x14ac:dyDescent="0.2">
      <c r="A474" s="487" t="s">
        <v>1591</v>
      </c>
      <c r="B474" s="166">
        <v>968</v>
      </c>
      <c r="C474" s="166">
        <v>707</v>
      </c>
      <c r="D474" s="166" t="str">
        <f>D476</f>
        <v>795 06 00</v>
      </c>
      <c r="E474" s="166"/>
      <c r="F474" s="482"/>
      <c r="G474" s="482"/>
      <c r="H474" s="832">
        <f>H476</f>
        <v>1610.9</v>
      </c>
      <c r="I474" s="959">
        <f t="shared" ref="I474:L475" si="86">I475</f>
        <v>792</v>
      </c>
      <c r="J474" s="959">
        <f t="shared" si="86"/>
        <v>818.9</v>
      </c>
      <c r="K474" s="959">
        <f t="shared" si="86"/>
        <v>0</v>
      </c>
      <c r="L474" s="832">
        <f t="shared" si="86"/>
        <v>0</v>
      </c>
      <c r="M474" s="1018"/>
      <c r="N474" s="1018"/>
    </row>
    <row r="475" spans="1:14" ht="16.5" customHeight="1" x14ac:dyDescent="0.2">
      <c r="A475" s="487" t="s">
        <v>1357</v>
      </c>
      <c r="B475" s="1285">
        <v>968</v>
      </c>
      <c r="C475" s="1285">
        <v>707</v>
      </c>
      <c r="D475" s="1285" t="str">
        <f>D476</f>
        <v>795 06 00</v>
      </c>
      <c r="E475" s="1285">
        <v>500</v>
      </c>
      <c r="F475" s="1279">
        <v>200</v>
      </c>
      <c r="G475" s="482"/>
      <c r="H475" s="832">
        <f>SUM(I475:L475)</f>
        <v>1610.9</v>
      </c>
      <c r="I475" s="959">
        <f t="shared" si="86"/>
        <v>792</v>
      </c>
      <c r="J475" s="959">
        <f t="shared" si="86"/>
        <v>818.9</v>
      </c>
      <c r="K475" s="959">
        <f t="shared" si="86"/>
        <v>0</v>
      </c>
      <c r="L475" s="832">
        <f t="shared" si="86"/>
        <v>0</v>
      </c>
      <c r="M475" s="1018"/>
      <c r="N475" s="1018"/>
    </row>
    <row r="476" spans="1:14" x14ac:dyDescent="0.2">
      <c r="A476" s="1278" t="s">
        <v>1201</v>
      </c>
      <c r="B476" s="1285">
        <v>968</v>
      </c>
      <c r="C476" s="1285">
        <v>707</v>
      </c>
      <c r="D476" s="1285" t="str">
        <f>D477</f>
        <v>795 06 00</v>
      </c>
      <c r="E476" s="1285">
        <v>500</v>
      </c>
      <c r="F476" s="1279">
        <v>244</v>
      </c>
      <c r="G476" s="1279"/>
      <c r="H476" s="1286">
        <f>H477+H481</f>
        <v>1610.9</v>
      </c>
      <c r="I476" s="1286">
        <f>I477+I481</f>
        <v>792</v>
      </c>
      <c r="J476" s="1286">
        <f>J477+J481</f>
        <v>818.9</v>
      </c>
      <c r="K476" s="1286">
        <f>K477+K481</f>
        <v>0</v>
      </c>
      <c r="L476" s="1286">
        <f>L477+L481</f>
        <v>0</v>
      </c>
      <c r="M476" s="1018"/>
      <c r="N476" s="1018"/>
    </row>
    <row r="477" spans="1:14" x14ac:dyDescent="0.2">
      <c r="A477" s="465" t="s">
        <v>380</v>
      </c>
      <c r="B477" s="156">
        <v>968</v>
      </c>
      <c r="C477" s="156">
        <v>707</v>
      </c>
      <c r="D477" s="156" t="str">
        <f>D478</f>
        <v>795 06 00</v>
      </c>
      <c r="E477" s="156">
        <v>500</v>
      </c>
      <c r="F477" s="479">
        <v>244</v>
      </c>
      <c r="G477" s="479">
        <v>200</v>
      </c>
      <c r="H477" s="1804">
        <f>H478+H480</f>
        <v>1610.9</v>
      </c>
      <c r="I477" s="1804">
        <f>I478+I480</f>
        <v>792</v>
      </c>
      <c r="J477" s="1804">
        <f>J478+J480</f>
        <v>818.9</v>
      </c>
      <c r="K477" s="1804">
        <f>K478+K480</f>
        <v>0</v>
      </c>
      <c r="L477" s="1804">
        <f>L478+L480</f>
        <v>0</v>
      </c>
      <c r="M477" s="1018"/>
      <c r="N477" s="1018"/>
    </row>
    <row r="478" spans="1:14" x14ac:dyDescent="0.2">
      <c r="A478" s="467" t="s">
        <v>381</v>
      </c>
      <c r="B478" s="475">
        <v>968</v>
      </c>
      <c r="C478" s="475">
        <v>707</v>
      </c>
      <c r="D478" s="475" t="str">
        <f>D479</f>
        <v>795 06 00</v>
      </c>
      <c r="E478" s="475">
        <v>598</v>
      </c>
      <c r="F478" s="475">
        <v>244</v>
      </c>
      <c r="G478" s="480">
        <v>220</v>
      </c>
      <c r="H478" s="2590">
        <f>H479</f>
        <v>1610.9</v>
      </c>
      <c r="I478" s="2590">
        <f>I479</f>
        <v>792</v>
      </c>
      <c r="J478" s="2590">
        <f>J479</f>
        <v>818.9</v>
      </c>
      <c r="K478" s="2590">
        <f>K479</f>
        <v>0</v>
      </c>
      <c r="L478" s="2590">
        <f>L479</f>
        <v>0</v>
      </c>
      <c r="M478" s="1018"/>
      <c r="N478" s="1018"/>
    </row>
    <row r="479" spans="1:14" ht="15.75" customHeight="1" x14ac:dyDescent="0.2">
      <c r="A479" s="739" t="s">
        <v>383</v>
      </c>
      <c r="B479" s="740">
        <v>968</v>
      </c>
      <c r="C479" s="740">
        <v>707</v>
      </c>
      <c r="D479" s="474" t="s">
        <v>1303</v>
      </c>
      <c r="E479" s="740">
        <v>500</v>
      </c>
      <c r="F479" s="741">
        <v>244</v>
      </c>
      <c r="G479" s="741">
        <v>226</v>
      </c>
      <c r="H479" s="2587">
        <f>SUM(I479:L479)</f>
        <v>1610.9</v>
      </c>
      <c r="I479" s="2588">
        <f>799.2-7.2</f>
        <v>792</v>
      </c>
      <c r="J479" s="2587">
        <f>1120-100-201.1</f>
        <v>818.9</v>
      </c>
      <c r="K479" s="2588">
        <v>0</v>
      </c>
      <c r="L479" s="2587">
        <v>0</v>
      </c>
      <c r="M479" s="1018"/>
      <c r="N479" s="1018"/>
    </row>
    <row r="480" spans="1:14" ht="15.75" hidden="1" customHeight="1" x14ac:dyDescent="0.2">
      <c r="A480" s="467" t="s">
        <v>278</v>
      </c>
      <c r="B480" s="474">
        <v>968</v>
      </c>
      <c r="C480" s="474">
        <v>707</v>
      </c>
      <c r="D480" s="474" t="s">
        <v>1303</v>
      </c>
      <c r="E480" s="474">
        <v>500</v>
      </c>
      <c r="F480" s="475">
        <v>244</v>
      </c>
      <c r="G480" s="480">
        <v>290</v>
      </c>
      <c r="H480" s="2587">
        <f>SUM(I480:L480)</f>
        <v>0</v>
      </c>
      <c r="I480" s="2656">
        <v>0</v>
      </c>
      <c r="J480" s="2657">
        <f>198-198</f>
        <v>0</v>
      </c>
      <c r="K480" s="2656">
        <v>0</v>
      </c>
      <c r="L480" s="2657">
        <v>0</v>
      </c>
      <c r="M480" s="1018"/>
      <c r="N480" s="1018"/>
    </row>
    <row r="481" spans="1:14" ht="15.75" hidden="1" customHeight="1" x14ac:dyDescent="0.2">
      <c r="A481" s="465" t="s">
        <v>384</v>
      </c>
      <c r="B481" s="156">
        <v>968</v>
      </c>
      <c r="C481" s="156">
        <v>707</v>
      </c>
      <c r="D481" s="156" t="s">
        <v>276</v>
      </c>
      <c r="E481" s="156">
        <v>500</v>
      </c>
      <c r="F481" s="479">
        <v>240</v>
      </c>
      <c r="G481" s="755">
        <v>300</v>
      </c>
      <c r="H481" s="2604">
        <f>H482</f>
        <v>0</v>
      </c>
      <c r="I481" s="2604">
        <f>I482</f>
        <v>0</v>
      </c>
      <c r="J481" s="2632">
        <f>J482</f>
        <v>0</v>
      </c>
      <c r="K481" s="2604">
        <f>K482</f>
        <v>0</v>
      </c>
      <c r="L481" s="2604">
        <f>L482</f>
        <v>0</v>
      </c>
      <c r="M481" s="1018"/>
      <c r="N481" s="1018"/>
    </row>
    <row r="482" spans="1:14" ht="15.75" hidden="1" customHeight="1" x14ac:dyDescent="0.2">
      <c r="A482" s="468" t="s">
        <v>279</v>
      </c>
      <c r="B482" s="475">
        <v>968</v>
      </c>
      <c r="C482" s="740">
        <v>707</v>
      </c>
      <c r="D482" s="740" t="s">
        <v>276</v>
      </c>
      <c r="E482" s="740">
        <v>500</v>
      </c>
      <c r="F482" s="741">
        <v>240</v>
      </c>
      <c r="G482" s="481">
        <v>310</v>
      </c>
      <c r="H482" s="2609">
        <f>SUM(I482:L482)</f>
        <v>0</v>
      </c>
      <c r="I482" s="2609">
        <v>0</v>
      </c>
      <c r="J482" s="2630">
        <v>0</v>
      </c>
      <c r="K482" s="2609">
        <v>0</v>
      </c>
      <c r="L482" s="2609">
        <f>330.725-286.01-44.715</f>
        <v>0</v>
      </c>
      <c r="M482" s="1018"/>
      <c r="N482" s="1018"/>
    </row>
    <row r="483" spans="1:14" ht="40.5" customHeight="1" x14ac:dyDescent="0.2">
      <c r="A483" s="487" t="str">
        <f>Пцс!B52</f>
        <v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483" s="166">
        <v>968</v>
      </c>
      <c r="C483" s="166">
        <v>707</v>
      </c>
      <c r="D483" s="166" t="str">
        <f>Пцс!C52</f>
        <v>795 05 00</v>
      </c>
      <c r="E483" s="166"/>
      <c r="F483" s="482"/>
      <c r="G483" s="482"/>
      <c r="H483" s="832">
        <f>H485</f>
        <v>100</v>
      </c>
      <c r="I483" s="959">
        <f t="shared" ref="I483:L485" si="87">I484</f>
        <v>0</v>
      </c>
      <c r="J483" s="959">
        <f t="shared" si="87"/>
        <v>25.740000000000002</v>
      </c>
      <c r="K483" s="959">
        <f t="shared" si="87"/>
        <v>0</v>
      </c>
      <c r="L483" s="832">
        <f t="shared" si="87"/>
        <v>74.260000000000005</v>
      </c>
      <c r="M483" s="1018"/>
      <c r="N483" s="1018"/>
    </row>
    <row r="484" spans="1:14" ht="15.75" customHeight="1" x14ac:dyDescent="0.2">
      <c r="A484" s="487" t="s">
        <v>1357</v>
      </c>
      <c r="B484" s="1285">
        <v>968</v>
      </c>
      <c r="C484" s="1285">
        <v>707</v>
      </c>
      <c r="D484" s="1285" t="str">
        <f>D485</f>
        <v>795 05 00</v>
      </c>
      <c r="E484" s="1285">
        <v>500</v>
      </c>
      <c r="F484" s="1279">
        <v>200</v>
      </c>
      <c r="G484" s="482"/>
      <c r="H484" s="832">
        <f>SUM(I484:L484)</f>
        <v>100</v>
      </c>
      <c r="I484" s="959">
        <f t="shared" si="87"/>
        <v>0</v>
      </c>
      <c r="J484" s="959">
        <f t="shared" si="87"/>
        <v>25.740000000000002</v>
      </c>
      <c r="K484" s="959">
        <f t="shared" si="87"/>
        <v>0</v>
      </c>
      <c r="L484" s="832">
        <f t="shared" si="87"/>
        <v>74.260000000000005</v>
      </c>
      <c r="M484" s="1018"/>
      <c r="N484" s="1018"/>
    </row>
    <row r="485" spans="1:14" ht="15.75" customHeight="1" x14ac:dyDescent="0.2">
      <c r="A485" s="1278" t="s">
        <v>1201</v>
      </c>
      <c r="B485" s="1285">
        <v>968</v>
      </c>
      <c r="C485" s="1285">
        <v>707</v>
      </c>
      <c r="D485" s="1285" t="str">
        <f>D486</f>
        <v>795 05 00</v>
      </c>
      <c r="E485" s="1285">
        <v>500</v>
      </c>
      <c r="F485" s="1279">
        <v>244</v>
      </c>
      <c r="G485" s="1279"/>
      <c r="H485" s="1286">
        <f>SUM(I485:L485)</f>
        <v>100</v>
      </c>
      <c r="I485" s="1286">
        <f>I486</f>
        <v>0</v>
      </c>
      <c r="J485" s="1286">
        <f t="shared" si="87"/>
        <v>25.740000000000002</v>
      </c>
      <c r="K485" s="1286">
        <f t="shared" si="87"/>
        <v>0</v>
      </c>
      <c r="L485" s="1286">
        <f t="shared" si="87"/>
        <v>74.260000000000005</v>
      </c>
      <c r="M485" s="1018"/>
      <c r="N485" s="1018"/>
    </row>
    <row r="486" spans="1:14" ht="15.75" customHeight="1" x14ac:dyDescent="0.2">
      <c r="A486" s="465" t="s">
        <v>380</v>
      </c>
      <c r="B486" s="156">
        <v>968</v>
      </c>
      <c r="C486" s="156">
        <v>707</v>
      </c>
      <c r="D486" s="156" t="str">
        <f>D487</f>
        <v>795 05 00</v>
      </c>
      <c r="E486" s="156">
        <v>500</v>
      </c>
      <c r="F486" s="479">
        <v>244</v>
      </c>
      <c r="G486" s="479">
        <v>200</v>
      </c>
      <c r="H486" s="1804">
        <f>H487+H489</f>
        <v>100</v>
      </c>
      <c r="I486" s="1804">
        <f>I487+I489</f>
        <v>0</v>
      </c>
      <c r="J486" s="1804">
        <f>J487+J489</f>
        <v>25.740000000000002</v>
      </c>
      <c r="K486" s="1804">
        <f>K487+K489</f>
        <v>0</v>
      </c>
      <c r="L486" s="1804">
        <f>L487+L489</f>
        <v>74.260000000000005</v>
      </c>
      <c r="M486" s="1018"/>
      <c r="N486" s="1018"/>
    </row>
    <row r="487" spans="1:14" ht="15.75" customHeight="1" x14ac:dyDescent="0.2">
      <c r="A487" s="467" t="s">
        <v>381</v>
      </c>
      <c r="B487" s="475">
        <v>968</v>
      </c>
      <c r="C487" s="475">
        <v>707</v>
      </c>
      <c r="D487" s="475" t="str">
        <f>D488</f>
        <v>795 05 00</v>
      </c>
      <c r="E487" s="475">
        <v>598</v>
      </c>
      <c r="F487" s="475">
        <v>244</v>
      </c>
      <c r="G487" s="480">
        <v>220</v>
      </c>
      <c r="H487" s="2590">
        <f>H488</f>
        <v>100</v>
      </c>
      <c r="I487" s="2590">
        <f>I488</f>
        <v>0</v>
      </c>
      <c r="J487" s="2590">
        <f>J488</f>
        <v>25.740000000000002</v>
      </c>
      <c r="K487" s="2590">
        <f>K488</f>
        <v>0</v>
      </c>
      <c r="L487" s="2590">
        <f>L488</f>
        <v>74.260000000000005</v>
      </c>
      <c r="M487" s="1018"/>
      <c r="N487" s="1018"/>
    </row>
    <row r="488" spans="1:14" ht="15.75" customHeight="1" x14ac:dyDescent="0.2">
      <c r="A488" s="739" t="s">
        <v>383</v>
      </c>
      <c r="B488" s="740">
        <v>968</v>
      </c>
      <c r="C488" s="740">
        <v>707</v>
      </c>
      <c r="D488" s="474" t="str">
        <f>Пцс!C52</f>
        <v>795 05 00</v>
      </c>
      <c r="E488" s="740">
        <v>500</v>
      </c>
      <c r="F488" s="741">
        <v>244</v>
      </c>
      <c r="G488" s="741">
        <v>226</v>
      </c>
      <c r="H488" s="2587">
        <f>SUM(I488:L488)</f>
        <v>100</v>
      </c>
      <c r="I488" s="2588">
        <v>0</v>
      </c>
      <c r="J488" s="2587">
        <f>30-4.26</f>
        <v>25.740000000000002</v>
      </c>
      <c r="K488" s="2588">
        <v>0</v>
      </c>
      <c r="L488" s="2587">
        <f>70+4.26</f>
        <v>74.260000000000005</v>
      </c>
      <c r="M488" s="1018"/>
      <c r="N488" s="1018"/>
    </row>
    <row r="489" spans="1:14" ht="15.75" customHeight="1" x14ac:dyDescent="0.2">
      <c r="A489" s="467" t="s">
        <v>278</v>
      </c>
      <c r="B489" s="474">
        <v>968</v>
      </c>
      <c r="C489" s="474">
        <v>707</v>
      </c>
      <c r="D489" s="474" t="str">
        <f>Пцс!C52</f>
        <v>795 05 00</v>
      </c>
      <c r="E489" s="474">
        <v>500</v>
      </c>
      <c r="F489" s="475">
        <v>244</v>
      </c>
      <c r="G489" s="480">
        <v>290</v>
      </c>
      <c r="H489" s="2587">
        <f>SUM(I489:L489)</f>
        <v>0</v>
      </c>
      <c r="I489" s="2656">
        <f>30-30</f>
        <v>0</v>
      </c>
      <c r="J489" s="2657">
        <f>30-30</f>
        <v>0</v>
      </c>
      <c r="K489" s="2656">
        <v>0</v>
      </c>
      <c r="L489" s="2657">
        <v>0</v>
      </c>
      <c r="M489" s="1018"/>
      <c r="N489" s="1018"/>
    </row>
    <row r="490" spans="1:14" x14ac:dyDescent="0.2">
      <c r="A490" s="1771" t="s">
        <v>14</v>
      </c>
      <c r="B490" s="473">
        <v>968</v>
      </c>
      <c r="C490" s="473">
        <v>709</v>
      </c>
      <c r="D490" s="473"/>
      <c r="E490" s="473"/>
      <c r="F490" s="478"/>
      <c r="G490" s="478"/>
      <c r="H490" s="2659">
        <f>H491+H500</f>
        <v>136.5</v>
      </c>
      <c r="I490" s="2660">
        <f>I491+I500</f>
        <v>0</v>
      </c>
      <c r="J490" s="2660">
        <f>J491+J500</f>
        <v>83.01</v>
      </c>
      <c r="K490" s="2660">
        <f>K491+K500</f>
        <v>30</v>
      </c>
      <c r="L490" s="2661">
        <f>L491+L500</f>
        <v>23.49</v>
      </c>
      <c r="M490" s="1018"/>
      <c r="N490" s="1018"/>
    </row>
    <row r="491" spans="1:14" ht="28.5" customHeight="1" x14ac:dyDescent="0.2">
      <c r="A491" s="487" t="s">
        <v>1592</v>
      </c>
      <c r="B491" s="166">
        <v>968</v>
      </c>
      <c r="C491" s="166">
        <v>709</v>
      </c>
      <c r="D491" s="166" t="str">
        <f>D493</f>
        <v>795 01 00</v>
      </c>
      <c r="E491" s="166"/>
      <c r="F491" s="482"/>
      <c r="G491" s="482"/>
      <c r="H491" s="832">
        <f>H493</f>
        <v>30</v>
      </c>
      <c r="I491" s="832">
        <f t="shared" ref="I491:L492" si="88">I492</f>
        <v>0</v>
      </c>
      <c r="J491" s="832">
        <f t="shared" si="88"/>
        <v>0</v>
      </c>
      <c r="K491" s="832">
        <f t="shared" si="88"/>
        <v>30</v>
      </c>
      <c r="L491" s="832">
        <f t="shared" si="88"/>
        <v>0</v>
      </c>
      <c r="M491" s="1018"/>
      <c r="N491" s="1018"/>
    </row>
    <row r="492" spans="1:14" ht="17.25" customHeight="1" x14ac:dyDescent="0.2">
      <c r="A492" s="487" t="s">
        <v>1357</v>
      </c>
      <c r="B492" s="1285">
        <v>968</v>
      </c>
      <c r="C492" s="1285">
        <v>709</v>
      </c>
      <c r="D492" s="1285" t="str">
        <f t="shared" ref="D492:D497" si="89">D493</f>
        <v>795 01 00</v>
      </c>
      <c r="E492" s="1285">
        <v>500</v>
      </c>
      <c r="F492" s="1279">
        <v>200</v>
      </c>
      <c r="G492" s="482"/>
      <c r="H492" s="832">
        <f>SUM(I492:L492)</f>
        <v>30</v>
      </c>
      <c r="I492" s="959">
        <f t="shared" si="88"/>
        <v>0</v>
      </c>
      <c r="J492" s="959">
        <f t="shared" si="88"/>
        <v>0</v>
      </c>
      <c r="K492" s="959">
        <f t="shared" si="88"/>
        <v>30</v>
      </c>
      <c r="L492" s="832">
        <f t="shared" si="88"/>
        <v>0</v>
      </c>
      <c r="M492" s="1018"/>
      <c r="N492" s="1018"/>
    </row>
    <row r="493" spans="1:14" x14ac:dyDescent="0.2">
      <c r="A493" s="1278" t="s">
        <v>1201</v>
      </c>
      <c r="B493" s="1285">
        <v>968</v>
      </c>
      <c r="C493" s="1285">
        <v>709</v>
      </c>
      <c r="D493" s="1285" t="str">
        <f t="shared" si="89"/>
        <v>795 01 00</v>
      </c>
      <c r="E493" s="1285">
        <v>500</v>
      </c>
      <c r="F493" s="1279">
        <v>244</v>
      </c>
      <c r="G493" s="1279"/>
      <c r="H493" s="1286">
        <f>SUM(I493:L493)</f>
        <v>30</v>
      </c>
      <c r="I493" s="1287">
        <f>I494+I497</f>
        <v>0</v>
      </c>
      <c r="J493" s="1287">
        <f>J494+J497</f>
        <v>0</v>
      </c>
      <c r="K493" s="1287">
        <f>K494+K497</f>
        <v>30</v>
      </c>
      <c r="L493" s="1286">
        <f>L494+L497</f>
        <v>0</v>
      </c>
      <c r="M493" s="1018"/>
      <c r="N493" s="1018"/>
    </row>
    <row r="494" spans="1:14" x14ac:dyDescent="0.2">
      <c r="A494" s="465" t="s">
        <v>380</v>
      </c>
      <c r="B494" s="156">
        <v>968</v>
      </c>
      <c r="C494" s="156">
        <v>709</v>
      </c>
      <c r="D494" s="156" t="str">
        <f t="shared" si="89"/>
        <v>795 01 00</v>
      </c>
      <c r="E494" s="156">
        <v>500</v>
      </c>
      <c r="F494" s="479">
        <v>244</v>
      </c>
      <c r="G494" s="479">
        <v>200</v>
      </c>
      <c r="H494" s="1804">
        <f>H495+H496</f>
        <v>30</v>
      </c>
      <c r="I494" s="1804">
        <f>I495+I496</f>
        <v>0</v>
      </c>
      <c r="J494" s="1804">
        <f>J495+J496</f>
        <v>0</v>
      </c>
      <c r="K494" s="1804">
        <f>K495+K496</f>
        <v>30</v>
      </c>
      <c r="L494" s="1804">
        <f>L495+L496</f>
        <v>0</v>
      </c>
      <c r="M494" s="1018"/>
      <c r="N494" s="1018"/>
    </row>
    <row r="495" spans="1:14" ht="16.5" customHeight="1" thickBot="1" x14ac:dyDescent="0.25">
      <c r="A495" s="739" t="s">
        <v>383</v>
      </c>
      <c r="B495" s="740">
        <v>968</v>
      </c>
      <c r="C495" s="740">
        <v>709</v>
      </c>
      <c r="D495" s="740" t="str">
        <f t="shared" si="89"/>
        <v>795 01 00</v>
      </c>
      <c r="E495" s="740">
        <v>500</v>
      </c>
      <c r="F495" s="741">
        <v>244</v>
      </c>
      <c r="G495" s="741">
        <v>226</v>
      </c>
      <c r="H495" s="2587">
        <f t="shared" ref="H495:H501" si="90">SUM(I495:L495)</f>
        <v>30</v>
      </c>
      <c r="I495" s="2588">
        <v>0</v>
      </c>
      <c r="J495" s="2587">
        <v>0</v>
      </c>
      <c r="K495" s="2648">
        <v>30</v>
      </c>
      <c r="L495" s="2587">
        <v>0</v>
      </c>
      <c r="M495" s="1018"/>
      <c r="N495" s="1018"/>
    </row>
    <row r="496" spans="1:14" ht="16.5" customHeight="1" x14ac:dyDescent="0.2">
      <c r="A496" s="467" t="s">
        <v>278</v>
      </c>
      <c r="B496" s="1260">
        <v>968</v>
      </c>
      <c r="C496" s="1260">
        <v>709</v>
      </c>
      <c r="D496" s="1260" t="str">
        <f t="shared" si="89"/>
        <v>795 01 00</v>
      </c>
      <c r="E496" s="1260">
        <v>500</v>
      </c>
      <c r="F496" s="1261">
        <v>244</v>
      </c>
      <c r="G496" s="1261">
        <v>290</v>
      </c>
      <c r="H496" s="2587">
        <f t="shared" si="90"/>
        <v>0</v>
      </c>
      <c r="I496" s="2588">
        <v>0</v>
      </c>
      <c r="J496" s="2587">
        <v>0</v>
      </c>
      <c r="K496" s="2588">
        <f>130-130</f>
        <v>0</v>
      </c>
      <c r="L496" s="2587">
        <v>0</v>
      </c>
      <c r="M496" s="1018"/>
      <c r="N496" s="1018"/>
    </row>
    <row r="497" spans="1:14" ht="16.5" hidden="1" customHeight="1" x14ac:dyDescent="0.2">
      <c r="A497" s="465" t="s">
        <v>384</v>
      </c>
      <c r="B497" s="156">
        <v>968</v>
      </c>
      <c r="C497" s="156">
        <v>709</v>
      </c>
      <c r="D497" s="156" t="str">
        <f t="shared" si="89"/>
        <v>795 01 00</v>
      </c>
      <c r="E497" s="156">
        <v>500</v>
      </c>
      <c r="F497" s="479">
        <v>240</v>
      </c>
      <c r="G497" s="479">
        <v>300</v>
      </c>
      <c r="H497" s="2607">
        <f t="shared" si="90"/>
        <v>0</v>
      </c>
      <c r="I497" s="2607">
        <f>SUM(I498:I499)</f>
        <v>0</v>
      </c>
      <c r="J497" s="2607">
        <f>SUM(J498:J499)</f>
        <v>0</v>
      </c>
      <c r="K497" s="2607">
        <f>SUM(K498:K499)</f>
        <v>0</v>
      </c>
      <c r="L497" s="2607">
        <f>SUM(L498:L499)</f>
        <v>0</v>
      </c>
      <c r="M497" s="1018"/>
      <c r="N497" s="1018"/>
    </row>
    <row r="498" spans="1:14" ht="16.5" hidden="1" customHeight="1" x14ac:dyDescent="0.2">
      <c r="A498" s="468" t="s">
        <v>279</v>
      </c>
      <c r="B498" s="475">
        <v>968</v>
      </c>
      <c r="C498" s="740">
        <v>709</v>
      </c>
      <c r="D498" s="740" t="s">
        <v>463</v>
      </c>
      <c r="E498" s="740">
        <v>500</v>
      </c>
      <c r="F498" s="741">
        <v>240</v>
      </c>
      <c r="G498" s="481">
        <v>310</v>
      </c>
      <c r="H498" s="2607">
        <f t="shared" si="90"/>
        <v>0</v>
      </c>
      <c r="I498" s="2608">
        <v>0</v>
      </c>
      <c r="J498" s="2608">
        <v>0</v>
      </c>
      <c r="K498" s="2610">
        <v>0</v>
      </c>
      <c r="L498" s="2638">
        <v>0</v>
      </c>
      <c r="M498" s="1018"/>
      <c r="N498" s="1018"/>
    </row>
    <row r="499" spans="1:14" ht="16.5" hidden="1" customHeight="1" thickBot="1" x14ac:dyDescent="0.25">
      <c r="A499" s="468" t="s">
        <v>280</v>
      </c>
      <c r="B499" s="475">
        <v>968</v>
      </c>
      <c r="C499" s="740">
        <v>709</v>
      </c>
      <c r="D499" s="740" t="s">
        <v>15</v>
      </c>
      <c r="E499" s="740">
        <v>500</v>
      </c>
      <c r="F499" s="741"/>
      <c r="G499" s="481">
        <v>340</v>
      </c>
      <c r="H499" s="2609">
        <f t="shared" si="90"/>
        <v>0</v>
      </c>
      <c r="I499" s="2610">
        <v>0</v>
      </c>
      <c r="J499" s="2609">
        <f>30-30</f>
        <v>0</v>
      </c>
      <c r="K499" s="2610">
        <v>0</v>
      </c>
      <c r="L499" s="2627">
        <v>0</v>
      </c>
      <c r="M499" s="1018"/>
      <c r="N499" s="1018"/>
    </row>
    <row r="500" spans="1:14" ht="40.5" customHeight="1" x14ac:dyDescent="0.2">
      <c r="A500" s="487" t="s">
        <v>1589</v>
      </c>
      <c r="B500" s="166">
        <v>968</v>
      </c>
      <c r="C500" s="166">
        <v>709</v>
      </c>
      <c r="D500" s="166" t="str">
        <f>D502</f>
        <v>795 04 00</v>
      </c>
      <c r="E500" s="166"/>
      <c r="F500" s="482"/>
      <c r="G500" s="482"/>
      <c r="H500" s="832">
        <f t="shared" si="90"/>
        <v>106.5</v>
      </c>
      <c r="I500" s="959">
        <f t="shared" ref="I500:L501" si="91">I501</f>
        <v>0</v>
      </c>
      <c r="J500" s="959">
        <f t="shared" si="91"/>
        <v>83.01</v>
      </c>
      <c r="K500" s="959">
        <f t="shared" si="91"/>
        <v>0</v>
      </c>
      <c r="L500" s="832">
        <f t="shared" si="91"/>
        <v>23.49</v>
      </c>
      <c r="M500" s="1018"/>
      <c r="N500" s="1018"/>
    </row>
    <row r="501" spans="1:14" ht="15" customHeight="1" x14ac:dyDescent="0.2">
      <c r="A501" s="487" t="s">
        <v>1357</v>
      </c>
      <c r="B501" s="1285">
        <v>968</v>
      </c>
      <c r="C501" s="1285">
        <v>709</v>
      </c>
      <c r="D501" s="1285" t="str">
        <f>D502</f>
        <v>795 04 00</v>
      </c>
      <c r="E501" s="1285">
        <v>500</v>
      </c>
      <c r="F501" s="1279">
        <v>200</v>
      </c>
      <c r="G501" s="482"/>
      <c r="H501" s="832">
        <f t="shared" si="90"/>
        <v>106.5</v>
      </c>
      <c r="I501" s="959">
        <f t="shared" si="91"/>
        <v>0</v>
      </c>
      <c r="J501" s="959">
        <f t="shared" si="91"/>
        <v>83.01</v>
      </c>
      <c r="K501" s="959">
        <f t="shared" si="91"/>
        <v>0</v>
      </c>
      <c r="L501" s="832">
        <f t="shared" si="91"/>
        <v>23.49</v>
      </c>
      <c r="M501" s="1018"/>
      <c r="N501" s="1018"/>
    </row>
    <row r="502" spans="1:14" ht="16.5" customHeight="1" x14ac:dyDescent="0.2">
      <c r="A502" s="1278" t="s">
        <v>1201</v>
      </c>
      <c r="B502" s="1285">
        <v>968</v>
      </c>
      <c r="C502" s="1285">
        <v>709</v>
      </c>
      <c r="D502" s="1285" t="str">
        <f>D503</f>
        <v>795 04 00</v>
      </c>
      <c r="E502" s="1285">
        <v>500</v>
      </c>
      <c r="F502" s="1279">
        <v>244</v>
      </c>
      <c r="G502" s="1279"/>
      <c r="H502" s="1286">
        <f>H503</f>
        <v>106.5</v>
      </c>
      <c r="I502" s="1287">
        <f>I503</f>
        <v>0</v>
      </c>
      <c r="J502" s="1287">
        <f>J503</f>
        <v>83.01</v>
      </c>
      <c r="K502" s="1287">
        <f>K503</f>
        <v>0</v>
      </c>
      <c r="L502" s="1286">
        <f>L503</f>
        <v>23.49</v>
      </c>
      <c r="M502" s="1018"/>
      <c r="N502" s="1018"/>
    </row>
    <row r="503" spans="1:14" ht="12.75" customHeight="1" x14ac:dyDescent="0.2">
      <c r="A503" s="465" t="s">
        <v>380</v>
      </c>
      <c r="B503" s="156">
        <v>968</v>
      </c>
      <c r="C503" s="156">
        <v>709</v>
      </c>
      <c r="D503" s="156" t="str">
        <f>D504</f>
        <v>795 04 00</v>
      </c>
      <c r="E503" s="156">
        <v>500</v>
      </c>
      <c r="F503" s="479">
        <v>244</v>
      </c>
      <c r="G503" s="479">
        <v>200</v>
      </c>
      <c r="H503" s="1804">
        <f t="shared" ref="H503:H509" si="92">SUM(I503:L503)</f>
        <v>106.5</v>
      </c>
      <c r="I503" s="1804">
        <f>SUM(I504:I505)</f>
        <v>0</v>
      </c>
      <c r="J503" s="1804">
        <f>SUM(J504:J505)</f>
        <v>83.01</v>
      </c>
      <c r="K503" s="1804">
        <f>SUM(K504:K505)</f>
        <v>0</v>
      </c>
      <c r="L503" s="1804">
        <f>SUM(L504:L505)</f>
        <v>23.49</v>
      </c>
      <c r="M503" s="1018"/>
      <c r="N503" s="1018"/>
    </row>
    <row r="504" spans="1:14" ht="16.5" customHeight="1" x14ac:dyDescent="0.2">
      <c r="A504" s="739" t="s">
        <v>383</v>
      </c>
      <c r="B504" s="475">
        <v>968</v>
      </c>
      <c r="C504" s="475">
        <v>709</v>
      </c>
      <c r="D504" s="475" t="s">
        <v>163</v>
      </c>
      <c r="E504" s="475">
        <v>500</v>
      </c>
      <c r="F504" s="475">
        <v>244</v>
      </c>
      <c r="G504" s="475">
        <v>226</v>
      </c>
      <c r="H504" s="2571">
        <f t="shared" si="92"/>
        <v>76.5</v>
      </c>
      <c r="I504" s="2571">
        <f>76.5+15-91.5</f>
        <v>0</v>
      </c>
      <c r="J504" s="2571">
        <f>15+61.5-23.49</f>
        <v>53.010000000000005</v>
      </c>
      <c r="K504" s="2571">
        <f>15-15</f>
        <v>0</v>
      </c>
      <c r="L504" s="2645">
        <v>23.49</v>
      </c>
      <c r="M504" s="1018"/>
      <c r="N504" s="1018"/>
    </row>
    <row r="505" spans="1:14" ht="16.5" customHeight="1" thickBot="1" x14ac:dyDescent="0.25">
      <c r="A505" s="467" t="s">
        <v>278</v>
      </c>
      <c r="B505" s="475">
        <v>968</v>
      </c>
      <c r="C505" s="475">
        <v>709</v>
      </c>
      <c r="D505" s="475" t="s">
        <v>163</v>
      </c>
      <c r="E505" s="475">
        <v>500</v>
      </c>
      <c r="F505" s="475">
        <v>244</v>
      </c>
      <c r="G505" s="475">
        <v>290</v>
      </c>
      <c r="H505" s="2571">
        <f t="shared" si="92"/>
        <v>30</v>
      </c>
      <c r="I505" s="2571">
        <f>90-90</f>
        <v>0</v>
      </c>
      <c r="J505" s="2571">
        <f>30</f>
        <v>30</v>
      </c>
      <c r="K505" s="2571">
        <f>20-20</f>
        <v>0</v>
      </c>
      <c r="L505" s="2645">
        <v>0</v>
      </c>
      <c r="M505" s="1018"/>
      <c r="N505" s="1018"/>
    </row>
    <row r="506" spans="1:14" ht="16.5" customHeight="1" thickBot="1" x14ac:dyDescent="0.25">
      <c r="A506" s="747" t="s">
        <v>1039</v>
      </c>
      <c r="B506" s="2143">
        <v>968</v>
      </c>
      <c r="C506" s="2143">
        <v>800</v>
      </c>
      <c r="D506" s="2143"/>
      <c r="E506" s="2143"/>
      <c r="F506" s="2144"/>
      <c r="G506" s="2144"/>
      <c r="H506" s="2658">
        <f t="shared" si="92"/>
        <v>11628.808999999999</v>
      </c>
      <c r="I506" s="2658">
        <f>I507+I516</f>
        <v>3333.2049999999999</v>
      </c>
      <c r="J506" s="2658">
        <f>J507+J516</f>
        <v>4130.5709999999999</v>
      </c>
      <c r="K506" s="2658">
        <f>K507+K516</f>
        <v>1992.0330000000001</v>
      </c>
      <c r="L506" s="2658">
        <f>L507+L516</f>
        <v>2173</v>
      </c>
      <c r="M506" s="1018"/>
      <c r="N506" s="1018"/>
    </row>
    <row r="507" spans="1:14" ht="18" customHeight="1" x14ac:dyDescent="0.2">
      <c r="A507" s="752" t="s">
        <v>772</v>
      </c>
      <c r="B507" s="744">
        <v>968</v>
      </c>
      <c r="C507" s="744">
        <v>801</v>
      </c>
      <c r="D507" s="744"/>
      <c r="E507" s="744"/>
      <c r="F507" s="745"/>
      <c r="G507" s="745"/>
      <c r="H507" s="2652">
        <f t="shared" si="92"/>
        <v>10081.829</v>
      </c>
      <c r="I507" s="2651">
        <f>I508</f>
        <v>2864.4749999999999</v>
      </c>
      <c r="J507" s="2651">
        <f>J508</f>
        <v>3748.0609999999997</v>
      </c>
      <c r="K507" s="2651">
        <f>K508</f>
        <v>1763.2930000000001</v>
      </c>
      <c r="L507" s="2651">
        <f>L508</f>
        <v>1706</v>
      </c>
      <c r="M507" s="1018"/>
      <c r="N507" s="1018"/>
    </row>
    <row r="508" spans="1:14" ht="49.5" customHeight="1" x14ac:dyDescent="0.2">
      <c r="A508" s="2594" t="s">
        <v>1593</v>
      </c>
      <c r="B508" s="1813">
        <v>968</v>
      </c>
      <c r="C508" s="1813">
        <v>801</v>
      </c>
      <c r="D508" s="1813" t="s">
        <v>1470</v>
      </c>
      <c r="E508" s="166"/>
      <c r="F508" s="482"/>
      <c r="G508" s="482"/>
      <c r="H508" s="832">
        <f t="shared" si="92"/>
        <v>10081.829</v>
      </c>
      <c r="I508" s="959">
        <f t="shared" ref="I508:L509" si="93">I509</f>
        <v>2864.4749999999999</v>
      </c>
      <c r="J508" s="959">
        <f t="shared" si="93"/>
        <v>3748.0609999999997</v>
      </c>
      <c r="K508" s="959">
        <f t="shared" si="93"/>
        <v>1763.2930000000001</v>
      </c>
      <c r="L508" s="832">
        <f t="shared" si="93"/>
        <v>1706</v>
      </c>
      <c r="M508" s="1018"/>
      <c r="N508" s="1018"/>
    </row>
    <row r="509" spans="1:14" ht="16.5" customHeight="1" x14ac:dyDescent="0.2">
      <c r="A509" s="487" t="s">
        <v>1357</v>
      </c>
      <c r="B509" s="1285">
        <v>968</v>
      </c>
      <c r="C509" s="1285">
        <v>801</v>
      </c>
      <c r="D509" s="1285" t="s">
        <v>1470</v>
      </c>
      <c r="E509" s="1285">
        <v>500</v>
      </c>
      <c r="F509" s="1279">
        <v>200</v>
      </c>
      <c r="G509" s="482"/>
      <c r="H509" s="832">
        <f t="shared" si="92"/>
        <v>10081.829</v>
      </c>
      <c r="I509" s="959">
        <f t="shared" si="93"/>
        <v>2864.4749999999999</v>
      </c>
      <c r="J509" s="959">
        <f t="shared" si="93"/>
        <v>3748.0609999999997</v>
      </c>
      <c r="K509" s="959">
        <f t="shared" si="93"/>
        <v>1763.2930000000001</v>
      </c>
      <c r="L509" s="832">
        <f t="shared" si="93"/>
        <v>1706</v>
      </c>
      <c r="M509" s="1018"/>
      <c r="N509" s="1018"/>
    </row>
    <row r="510" spans="1:14" x14ac:dyDescent="0.2">
      <c r="A510" s="1278" t="s">
        <v>1201</v>
      </c>
      <c r="B510" s="1285">
        <v>968</v>
      </c>
      <c r="C510" s="1285">
        <v>801</v>
      </c>
      <c r="D510" s="1285" t="s">
        <v>1470</v>
      </c>
      <c r="E510" s="1285">
        <v>500</v>
      </c>
      <c r="F510" s="1279">
        <v>244</v>
      </c>
      <c r="G510" s="1279"/>
      <c r="H510" s="1286">
        <f>H511+H514</f>
        <v>10081.829</v>
      </c>
      <c r="I510" s="1286">
        <f>I511+I514</f>
        <v>2864.4749999999999</v>
      </c>
      <c r="J510" s="1286">
        <f>J511+J514</f>
        <v>3748.0609999999997</v>
      </c>
      <c r="K510" s="1286">
        <f>K511+K514</f>
        <v>1763.2930000000001</v>
      </c>
      <c r="L510" s="1286">
        <f>L511+L514</f>
        <v>1706</v>
      </c>
      <c r="M510" s="1018"/>
      <c r="N510" s="1018"/>
    </row>
    <row r="511" spans="1:14" x14ac:dyDescent="0.2">
      <c r="A511" s="465" t="s">
        <v>380</v>
      </c>
      <c r="B511" s="156">
        <v>968</v>
      </c>
      <c r="C511" s="156">
        <v>801</v>
      </c>
      <c r="D511" s="156" t="s">
        <v>1470</v>
      </c>
      <c r="E511" s="156">
        <v>500</v>
      </c>
      <c r="F511" s="479">
        <v>244</v>
      </c>
      <c r="G511" s="479">
        <v>200</v>
      </c>
      <c r="H511" s="1804">
        <f>H512+H513</f>
        <v>10081.829</v>
      </c>
      <c r="I511" s="1804">
        <f>I512+I513</f>
        <v>2864.4749999999999</v>
      </c>
      <c r="J511" s="1804">
        <f>J512+J513</f>
        <v>3748.0609999999997</v>
      </c>
      <c r="K511" s="1804">
        <f>K512+K513</f>
        <v>1763.2930000000001</v>
      </c>
      <c r="L511" s="1804">
        <f>L512+L513</f>
        <v>1706</v>
      </c>
      <c r="M511" s="1018"/>
      <c r="N511" s="1018"/>
    </row>
    <row r="512" spans="1:14" x14ac:dyDescent="0.2">
      <c r="A512" s="468" t="s">
        <v>383</v>
      </c>
      <c r="B512" s="475">
        <v>968</v>
      </c>
      <c r="C512" s="475">
        <v>801</v>
      </c>
      <c r="D512" s="475" t="s">
        <v>1470</v>
      </c>
      <c r="E512" s="475">
        <v>500</v>
      </c>
      <c r="F512" s="481">
        <v>244</v>
      </c>
      <c r="G512" s="481">
        <v>226</v>
      </c>
      <c r="H512" s="1802">
        <f>SUM(I512:L512)</f>
        <v>5062.915</v>
      </c>
      <c r="I512" s="1803">
        <f>1805.5-31.5-435.78+20.28+565.286</f>
        <v>1923.7860000000001</v>
      </c>
      <c r="J512" s="1802">
        <f>2630-33+600-617-350+1.714-25.585</f>
        <v>2206.1289999999999</v>
      </c>
      <c r="K512" s="1802">
        <f>742-13-55</f>
        <v>674</v>
      </c>
      <c r="L512" s="1802">
        <v>259</v>
      </c>
      <c r="M512" s="1018"/>
      <c r="N512" s="1018"/>
    </row>
    <row r="513" spans="1:14" x14ac:dyDescent="0.2">
      <c r="A513" s="467" t="s">
        <v>278</v>
      </c>
      <c r="B513" s="474">
        <v>968</v>
      </c>
      <c r="C513" s="474">
        <v>801</v>
      </c>
      <c r="D513" s="474" t="s">
        <v>1470</v>
      </c>
      <c r="E513" s="474">
        <v>500</v>
      </c>
      <c r="F513" s="480">
        <v>244</v>
      </c>
      <c r="G513" s="480">
        <v>290</v>
      </c>
      <c r="H513" s="2657">
        <f>SUM(I513:L513)</f>
        <v>5018.9139999999998</v>
      </c>
      <c r="I513" s="2656">
        <f>1131+83.5-60.42-20.28-193.111</f>
        <v>940.68899999999996</v>
      </c>
      <c r="J513" s="2657">
        <f>1755-600+198+222.111+73.85-107.029</f>
        <v>1541.9319999999998</v>
      </c>
      <c r="K513" s="2657">
        <f>1368-470+191.293</f>
        <v>1089.2930000000001</v>
      </c>
      <c r="L513" s="2657">
        <v>1447</v>
      </c>
      <c r="M513" s="1018"/>
      <c r="N513" s="1018"/>
    </row>
    <row r="514" spans="1:14" hidden="1" x14ac:dyDescent="0.2">
      <c r="A514" s="465" t="s">
        <v>384</v>
      </c>
      <c r="B514" s="156">
        <v>968</v>
      </c>
      <c r="C514" s="156">
        <v>801</v>
      </c>
      <c r="D514" s="156" t="s">
        <v>277</v>
      </c>
      <c r="E514" s="156">
        <v>500</v>
      </c>
      <c r="F514" s="479"/>
      <c r="G514" s="479">
        <v>300</v>
      </c>
      <c r="H514" s="2605">
        <f>H515</f>
        <v>0</v>
      </c>
      <c r="I514" s="2605">
        <f>I515</f>
        <v>0</v>
      </c>
      <c r="J514" s="2605">
        <f>J515</f>
        <v>0</v>
      </c>
      <c r="K514" s="2605">
        <f>K515</f>
        <v>0</v>
      </c>
      <c r="L514" s="2605">
        <f>L515</f>
        <v>0</v>
      </c>
      <c r="M514" s="1018"/>
      <c r="N514" s="1018"/>
    </row>
    <row r="515" spans="1:14" hidden="1" x14ac:dyDescent="0.2">
      <c r="A515" s="468" t="s">
        <v>280</v>
      </c>
      <c r="B515" s="475">
        <v>968</v>
      </c>
      <c r="C515" s="475">
        <v>801</v>
      </c>
      <c r="D515" s="475" t="s">
        <v>277</v>
      </c>
      <c r="E515" s="475">
        <v>500</v>
      </c>
      <c r="F515" s="481"/>
      <c r="G515" s="481">
        <v>340</v>
      </c>
      <c r="H515" s="2605">
        <f>SUM(I515:L515)</f>
        <v>0</v>
      </c>
      <c r="I515" s="2606">
        <v>0</v>
      </c>
      <c r="J515" s="2605">
        <v>0</v>
      </c>
      <c r="K515" s="2605">
        <v>0</v>
      </c>
      <c r="L515" s="2605">
        <v>0</v>
      </c>
      <c r="M515" s="1018"/>
      <c r="N515" s="1018"/>
    </row>
    <row r="516" spans="1:14" ht="14.25" customHeight="1" x14ac:dyDescent="0.2">
      <c r="A516" s="752" t="s">
        <v>1391</v>
      </c>
      <c r="B516" s="744">
        <v>968</v>
      </c>
      <c r="C516" s="744">
        <v>804</v>
      </c>
      <c r="D516" s="744"/>
      <c r="E516" s="744"/>
      <c r="F516" s="745"/>
      <c r="G516" s="745"/>
      <c r="H516" s="2652">
        <f>SUM(I516:L516)</f>
        <v>1546.98</v>
      </c>
      <c r="I516" s="2651">
        <f>I517+I523</f>
        <v>468.73</v>
      </c>
      <c r="J516" s="2651">
        <f>J517+J523</f>
        <v>382.51</v>
      </c>
      <c r="K516" s="2651">
        <f>K517+K523</f>
        <v>228.74</v>
      </c>
      <c r="L516" s="2651">
        <f>L517+L523</f>
        <v>467</v>
      </c>
      <c r="M516" s="1018"/>
      <c r="N516" s="1018"/>
    </row>
    <row r="517" spans="1:14" ht="24" customHeight="1" x14ac:dyDescent="0.2">
      <c r="A517" s="487" t="s">
        <v>1591</v>
      </c>
      <c r="B517" s="166">
        <v>968</v>
      </c>
      <c r="C517" s="166">
        <v>804</v>
      </c>
      <c r="D517" s="166" t="str">
        <f>D519</f>
        <v>795 06 00</v>
      </c>
      <c r="E517" s="166"/>
      <c r="F517" s="482"/>
      <c r="G517" s="482"/>
      <c r="H517" s="832">
        <f>SUM(I517:L517)</f>
        <v>1314.25</v>
      </c>
      <c r="I517" s="959">
        <f>I518</f>
        <v>390</v>
      </c>
      <c r="J517" s="959">
        <f>J518</f>
        <v>307.25</v>
      </c>
      <c r="K517" s="959">
        <f>K518</f>
        <v>150</v>
      </c>
      <c r="L517" s="832">
        <f>L518</f>
        <v>467</v>
      </c>
      <c r="M517" s="1018"/>
      <c r="N517" s="1018"/>
    </row>
    <row r="518" spans="1:14" x14ac:dyDescent="0.2">
      <c r="A518" s="487" t="s">
        <v>1357</v>
      </c>
      <c r="B518" s="1285">
        <v>968</v>
      </c>
      <c r="C518" s="1285">
        <v>804</v>
      </c>
      <c r="D518" s="1285" t="str">
        <f>D519</f>
        <v>795 06 00</v>
      </c>
      <c r="E518" s="1285">
        <v>500</v>
      </c>
      <c r="F518" s="1279">
        <v>200</v>
      </c>
      <c r="G518" s="482"/>
      <c r="H518" s="832">
        <f>SUM(I518:L518)</f>
        <v>1314.25</v>
      </c>
      <c r="I518" s="959">
        <f>I519</f>
        <v>390</v>
      </c>
      <c r="J518" s="959">
        <f t="shared" ref="J518:L520" si="94">J519</f>
        <v>307.25</v>
      </c>
      <c r="K518" s="959">
        <f t="shared" si="94"/>
        <v>150</v>
      </c>
      <c r="L518" s="832">
        <f t="shared" si="94"/>
        <v>467</v>
      </c>
      <c r="M518" s="1018"/>
      <c r="N518" s="1018"/>
    </row>
    <row r="519" spans="1:14" x14ac:dyDescent="0.2">
      <c r="A519" s="1278" t="s">
        <v>1201</v>
      </c>
      <c r="B519" s="1285">
        <v>968</v>
      </c>
      <c r="C519" s="1285">
        <v>804</v>
      </c>
      <c r="D519" s="1285" t="str">
        <f>D520</f>
        <v>795 06 00</v>
      </c>
      <c r="E519" s="1285">
        <v>500</v>
      </c>
      <c r="F519" s="1279">
        <v>244</v>
      </c>
      <c r="G519" s="1279"/>
      <c r="H519" s="1286">
        <f>SUM(I519:L519)</f>
        <v>1314.25</v>
      </c>
      <c r="I519" s="1286">
        <f>I520</f>
        <v>390</v>
      </c>
      <c r="J519" s="1286">
        <f t="shared" si="94"/>
        <v>307.25</v>
      </c>
      <c r="K519" s="1286">
        <f t="shared" si="94"/>
        <v>150</v>
      </c>
      <c r="L519" s="1286">
        <f t="shared" si="94"/>
        <v>467</v>
      </c>
      <c r="M519" s="1018"/>
      <c r="N519" s="1018"/>
    </row>
    <row r="520" spans="1:14" x14ac:dyDescent="0.2">
      <c r="A520" s="465" t="s">
        <v>380</v>
      </c>
      <c r="B520" s="156">
        <v>968</v>
      </c>
      <c r="C520" s="156">
        <v>804</v>
      </c>
      <c r="D520" s="156" t="str">
        <f>D521</f>
        <v>795 06 00</v>
      </c>
      <c r="E520" s="156">
        <v>500</v>
      </c>
      <c r="F520" s="479">
        <v>244</v>
      </c>
      <c r="G520" s="479">
        <v>200</v>
      </c>
      <c r="H520" s="1804">
        <f>H521+H522</f>
        <v>1314.25</v>
      </c>
      <c r="I520" s="1804">
        <f>I521</f>
        <v>390</v>
      </c>
      <c r="J520" s="1804">
        <f t="shared" si="94"/>
        <v>307.25</v>
      </c>
      <c r="K520" s="1804">
        <f t="shared" si="94"/>
        <v>150</v>
      </c>
      <c r="L520" s="1804">
        <f t="shared" si="94"/>
        <v>467</v>
      </c>
      <c r="M520" s="1018"/>
      <c r="N520" s="1018"/>
    </row>
    <row r="521" spans="1:14" x14ac:dyDescent="0.2">
      <c r="A521" s="468" t="s">
        <v>383</v>
      </c>
      <c r="B521" s="475">
        <v>968</v>
      </c>
      <c r="C521" s="475">
        <v>804</v>
      </c>
      <c r="D521" s="475" t="str">
        <f>D522</f>
        <v>795 06 00</v>
      </c>
      <c r="E521" s="475">
        <v>500</v>
      </c>
      <c r="F521" s="481">
        <v>244</v>
      </c>
      <c r="G521" s="481">
        <v>226</v>
      </c>
      <c r="H521" s="1802">
        <f t="shared" ref="H521:H529" si="95">SUM(I521:L521)</f>
        <v>1314.25</v>
      </c>
      <c r="I521" s="1803">
        <v>390</v>
      </c>
      <c r="J521" s="1802">
        <f>467-159.75</f>
        <v>307.25</v>
      </c>
      <c r="K521" s="1802">
        <f>565-415</f>
        <v>150</v>
      </c>
      <c r="L521" s="1802">
        <f>547-80</f>
        <v>467</v>
      </c>
      <c r="M521" s="1018"/>
      <c r="N521" s="1018"/>
    </row>
    <row r="522" spans="1:14" hidden="1" x14ac:dyDescent="0.2">
      <c r="A522" s="467" t="s">
        <v>278</v>
      </c>
      <c r="B522" s="474">
        <v>968</v>
      </c>
      <c r="C522" s="474">
        <v>804</v>
      </c>
      <c r="D522" s="474" t="s">
        <v>1303</v>
      </c>
      <c r="E522" s="474">
        <v>500</v>
      </c>
      <c r="F522" s="480">
        <v>244</v>
      </c>
      <c r="G522" s="480">
        <v>290</v>
      </c>
      <c r="H522" s="2605">
        <f t="shared" si="95"/>
        <v>0</v>
      </c>
      <c r="I522" s="2606">
        <v>0</v>
      </c>
      <c r="J522" s="2605">
        <v>0</v>
      </c>
      <c r="K522" s="2605">
        <v>0</v>
      </c>
      <c r="L522" s="2605">
        <v>0</v>
      </c>
      <c r="M522" s="1018"/>
      <c r="N522" s="1018"/>
    </row>
    <row r="523" spans="1:14" ht="24" x14ac:dyDescent="0.2">
      <c r="A523" s="487" t="str">
        <f>Пцс!B55</f>
        <v>Ведомственная целевая программа по военно-патриотическому воспитанию граждан муниципального образования</v>
      </c>
      <c r="B523" s="166">
        <v>968</v>
      </c>
      <c r="C523" s="166">
        <v>804</v>
      </c>
      <c r="D523" s="166" t="str">
        <f>Пцс!C55</f>
        <v>795 08 00</v>
      </c>
      <c r="E523" s="166"/>
      <c r="F523" s="482"/>
      <c r="G523" s="482"/>
      <c r="H523" s="832">
        <f t="shared" si="95"/>
        <v>232.73000000000002</v>
      </c>
      <c r="I523" s="959">
        <f t="shared" ref="I523:L525" si="96">I524</f>
        <v>78.73</v>
      </c>
      <c r="J523" s="959">
        <f t="shared" si="96"/>
        <v>75.260000000000005</v>
      </c>
      <c r="K523" s="959">
        <f t="shared" si="96"/>
        <v>78.739999999999995</v>
      </c>
      <c r="L523" s="832">
        <f t="shared" si="96"/>
        <v>0</v>
      </c>
      <c r="M523" s="1018"/>
      <c r="N523" s="1018"/>
    </row>
    <row r="524" spans="1:14" x14ac:dyDescent="0.2">
      <c r="A524" s="487" t="s">
        <v>1357</v>
      </c>
      <c r="B524" s="1285">
        <v>968</v>
      </c>
      <c r="C524" s="1285">
        <v>804</v>
      </c>
      <c r="D524" s="1285" t="s">
        <v>1469</v>
      </c>
      <c r="E524" s="1285">
        <v>500</v>
      </c>
      <c r="F524" s="1279">
        <v>200</v>
      </c>
      <c r="G524" s="482"/>
      <c r="H524" s="832">
        <f t="shared" si="95"/>
        <v>232.73000000000002</v>
      </c>
      <c r="I524" s="959">
        <f t="shared" si="96"/>
        <v>78.73</v>
      </c>
      <c r="J524" s="959">
        <f t="shared" si="96"/>
        <v>75.260000000000005</v>
      </c>
      <c r="K524" s="959">
        <f t="shared" si="96"/>
        <v>78.739999999999995</v>
      </c>
      <c r="L524" s="832">
        <f t="shared" si="96"/>
        <v>0</v>
      </c>
      <c r="M524" s="1018"/>
      <c r="N524" s="1018"/>
    </row>
    <row r="525" spans="1:14" x14ac:dyDescent="0.2">
      <c r="A525" s="1278" t="s">
        <v>1201</v>
      </c>
      <c r="B525" s="1285">
        <v>968</v>
      </c>
      <c r="C525" s="1285">
        <v>804</v>
      </c>
      <c r="D525" s="1285" t="s">
        <v>1469</v>
      </c>
      <c r="E525" s="1285">
        <v>500</v>
      </c>
      <c r="F525" s="1279">
        <v>244</v>
      </c>
      <c r="G525" s="1279"/>
      <c r="H525" s="1286">
        <f t="shared" si="95"/>
        <v>232.73000000000002</v>
      </c>
      <c r="I525" s="1286">
        <f>I526</f>
        <v>78.73</v>
      </c>
      <c r="J525" s="1286">
        <f t="shared" si="96"/>
        <v>75.260000000000005</v>
      </c>
      <c r="K525" s="1286">
        <f t="shared" si="96"/>
        <v>78.739999999999995</v>
      </c>
      <c r="L525" s="1286">
        <f t="shared" si="96"/>
        <v>0</v>
      </c>
      <c r="M525" s="1018"/>
      <c r="N525" s="1018"/>
    </row>
    <row r="526" spans="1:14" x14ac:dyDescent="0.2">
      <c r="A526" s="465" t="s">
        <v>380</v>
      </c>
      <c r="B526" s="156">
        <v>968</v>
      </c>
      <c r="C526" s="156">
        <v>804</v>
      </c>
      <c r="D526" s="156" t="s">
        <v>1469</v>
      </c>
      <c r="E526" s="156">
        <v>500</v>
      </c>
      <c r="F526" s="479">
        <v>244</v>
      </c>
      <c r="G526" s="479">
        <v>200</v>
      </c>
      <c r="H526" s="1804">
        <f t="shared" si="95"/>
        <v>232.73000000000002</v>
      </c>
      <c r="I526" s="1804">
        <f>I527</f>
        <v>78.73</v>
      </c>
      <c r="J526" s="1804">
        <f>J527</f>
        <v>75.260000000000005</v>
      </c>
      <c r="K526" s="1804">
        <f>K527</f>
        <v>78.739999999999995</v>
      </c>
      <c r="L526" s="1804">
        <f>L527</f>
        <v>0</v>
      </c>
      <c r="M526" s="1018"/>
      <c r="N526" s="1018"/>
    </row>
    <row r="527" spans="1:14" ht="13.5" thickBot="1" x14ac:dyDescent="0.25">
      <c r="A527" s="468" t="s">
        <v>383</v>
      </c>
      <c r="B527" s="475">
        <v>968</v>
      </c>
      <c r="C527" s="475">
        <v>804</v>
      </c>
      <c r="D527" s="475" t="s">
        <v>1469</v>
      </c>
      <c r="E527" s="475">
        <v>500</v>
      </c>
      <c r="F527" s="481">
        <v>244</v>
      </c>
      <c r="G527" s="481">
        <v>226</v>
      </c>
      <c r="H527" s="1802">
        <f t="shared" si="95"/>
        <v>232.73000000000002</v>
      </c>
      <c r="I527" s="1803">
        <f>77+1.73</f>
        <v>78.73</v>
      </c>
      <c r="J527" s="1802">
        <f>77-1.74</f>
        <v>75.260000000000005</v>
      </c>
      <c r="K527" s="1802">
        <f>77+1.74</f>
        <v>78.739999999999995</v>
      </c>
      <c r="L527" s="1802">
        <v>0</v>
      </c>
      <c r="M527" s="1018"/>
      <c r="N527" s="1018"/>
    </row>
    <row r="528" spans="1:14" ht="15.75" thickBot="1" x14ac:dyDescent="0.25">
      <c r="A528" s="747" t="s">
        <v>291</v>
      </c>
      <c r="B528" s="748">
        <v>968</v>
      </c>
      <c r="C528" s="748">
        <v>1000</v>
      </c>
      <c r="D528" s="748"/>
      <c r="E528" s="748"/>
      <c r="F528" s="749"/>
      <c r="G528" s="749"/>
      <c r="H528" s="2654">
        <f t="shared" si="95"/>
        <v>16911.900000000001</v>
      </c>
      <c r="I528" s="2654">
        <f>I529+I535</f>
        <v>4345.6060000000007</v>
      </c>
      <c r="J528" s="2654">
        <f>J529+J535</f>
        <v>4432.415</v>
      </c>
      <c r="K528" s="2654">
        <f>K529+K535</f>
        <v>4141.1350000000002</v>
      </c>
      <c r="L528" s="2655">
        <f>L529+L535</f>
        <v>3992.7440000000006</v>
      </c>
      <c r="M528" s="1018"/>
      <c r="N528" s="1018"/>
    </row>
    <row r="529" spans="1:14" ht="15" x14ac:dyDescent="0.2">
      <c r="A529" s="488" t="s">
        <v>1097</v>
      </c>
      <c r="B529" s="473">
        <v>968</v>
      </c>
      <c r="C529" s="473">
        <v>1003</v>
      </c>
      <c r="D529" s="473"/>
      <c r="E529" s="473"/>
      <c r="F529" s="478"/>
      <c r="G529" s="478"/>
      <c r="H529" s="2687">
        <f t="shared" si="95"/>
        <v>970.2</v>
      </c>
      <c r="I529" s="2687">
        <f t="shared" ref="I529:L533" si="97">I530</f>
        <v>312.73099999999999</v>
      </c>
      <c r="J529" s="2687">
        <f t="shared" si="97"/>
        <v>161.70000000000002</v>
      </c>
      <c r="K529" s="2687">
        <f t="shared" si="97"/>
        <v>253.21900000000002</v>
      </c>
      <c r="L529" s="2688">
        <f t="shared" si="97"/>
        <v>242.55</v>
      </c>
      <c r="M529" s="1018"/>
      <c r="N529" s="1018"/>
    </row>
    <row r="530" spans="1:14" ht="29.25" customHeight="1" x14ac:dyDescent="0.2">
      <c r="A530" s="487" t="s">
        <v>1222</v>
      </c>
      <c r="B530" s="166">
        <v>968</v>
      </c>
      <c r="C530" s="166">
        <v>1003</v>
      </c>
      <c r="D530" s="829" t="s">
        <v>1099</v>
      </c>
      <c r="E530" s="829"/>
      <c r="F530" s="831"/>
      <c r="G530" s="831"/>
      <c r="H530" s="959">
        <f>H532</f>
        <v>970.2</v>
      </c>
      <c r="I530" s="959">
        <f>I531</f>
        <v>312.73099999999999</v>
      </c>
      <c r="J530" s="959">
        <f t="shared" si="97"/>
        <v>161.70000000000002</v>
      </c>
      <c r="K530" s="959">
        <f t="shared" si="97"/>
        <v>253.21900000000002</v>
      </c>
      <c r="L530" s="832">
        <f t="shared" si="97"/>
        <v>242.55</v>
      </c>
      <c r="M530" s="1018"/>
      <c r="N530" s="1018"/>
    </row>
    <row r="531" spans="1:14" ht="15" customHeight="1" x14ac:dyDescent="0.2">
      <c r="A531" s="1278" t="s">
        <v>1358</v>
      </c>
      <c r="B531" s="1285">
        <v>968</v>
      </c>
      <c r="C531" s="1285">
        <v>1003</v>
      </c>
      <c r="D531" s="1285" t="s">
        <v>1099</v>
      </c>
      <c r="E531" s="1285">
        <v>5</v>
      </c>
      <c r="F531" s="1279">
        <v>300</v>
      </c>
      <c r="G531" s="2099"/>
      <c r="H531" s="2100">
        <f>SUM(I531:L531)</f>
        <v>970.2</v>
      </c>
      <c r="I531" s="2100">
        <f>I532</f>
        <v>312.73099999999999</v>
      </c>
      <c r="J531" s="2100">
        <f>J532</f>
        <v>161.70000000000002</v>
      </c>
      <c r="K531" s="2100">
        <f>K532</f>
        <v>253.21900000000002</v>
      </c>
      <c r="L531" s="821">
        <f>L532</f>
        <v>242.55</v>
      </c>
      <c r="M531" s="1018"/>
      <c r="N531" s="1018"/>
    </row>
    <row r="532" spans="1:14" ht="17.25" customHeight="1" x14ac:dyDescent="0.2">
      <c r="A532" s="1278" t="s">
        <v>1437</v>
      </c>
      <c r="B532" s="1285">
        <v>968</v>
      </c>
      <c r="C532" s="1285">
        <v>1003</v>
      </c>
      <c r="D532" s="1280" t="s">
        <v>1099</v>
      </c>
      <c r="E532" s="1280">
        <v>5</v>
      </c>
      <c r="F532" s="1281">
        <v>312</v>
      </c>
      <c r="G532" s="1279"/>
      <c r="H532" s="1287">
        <f>SUM(I532:L532)</f>
        <v>970.2</v>
      </c>
      <c r="I532" s="1287">
        <f t="shared" si="97"/>
        <v>312.73099999999999</v>
      </c>
      <c r="J532" s="1287">
        <f t="shared" si="97"/>
        <v>161.70000000000002</v>
      </c>
      <c r="K532" s="1287">
        <f t="shared" si="97"/>
        <v>253.21900000000002</v>
      </c>
      <c r="L532" s="1286">
        <f t="shared" si="97"/>
        <v>242.55</v>
      </c>
      <c r="M532" s="1018"/>
      <c r="N532" s="1018"/>
    </row>
    <row r="533" spans="1:14" x14ac:dyDescent="0.2">
      <c r="A533" s="467" t="s">
        <v>386</v>
      </c>
      <c r="B533" s="474">
        <v>968</v>
      </c>
      <c r="C533" s="474">
        <v>1003</v>
      </c>
      <c r="D533" s="474" t="s">
        <v>1099</v>
      </c>
      <c r="E533" s="474">
        <v>5</v>
      </c>
      <c r="F533" s="480">
        <v>312</v>
      </c>
      <c r="G533" s="480">
        <v>260</v>
      </c>
      <c r="H533" s="2656">
        <f>H534</f>
        <v>970.2</v>
      </c>
      <c r="I533" s="2656">
        <f t="shared" si="97"/>
        <v>312.73099999999999</v>
      </c>
      <c r="J533" s="2657">
        <f t="shared" si="97"/>
        <v>161.70000000000002</v>
      </c>
      <c r="K533" s="2657">
        <f t="shared" si="97"/>
        <v>253.21900000000002</v>
      </c>
      <c r="L533" s="2657">
        <f t="shared" si="97"/>
        <v>242.55</v>
      </c>
      <c r="M533" s="1018"/>
      <c r="N533" s="1018"/>
    </row>
    <row r="534" spans="1:14" x14ac:dyDescent="0.2">
      <c r="A534" s="468" t="s">
        <v>1100</v>
      </c>
      <c r="B534" s="475">
        <v>968</v>
      </c>
      <c r="C534" s="475">
        <v>1003</v>
      </c>
      <c r="D534" s="475" t="s">
        <v>1099</v>
      </c>
      <c r="E534" s="475">
        <v>5</v>
      </c>
      <c r="F534" s="481">
        <v>312</v>
      </c>
      <c r="G534" s="481">
        <v>263</v>
      </c>
      <c r="H534" s="1803">
        <f t="shared" ref="H534:H539" si="98">SUM(I534:L534)</f>
        <v>970.2</v>
      </c>
      <c r="I534" s="1803">
        <f>242.55+70.181</f>
        <v>312.73099999999999</v>
      </c>
      <c r="J534" s="1802">
        <f>242.55-70.181-10.669</f>
        <v>161.70000000000002</v>
      </c>
      <c r="K534" s="1802">
        <f>242.55+10.669</f>
        <v>253.21900000000002</v>
      </c>
      <c r="L534" s="1802">
        <v>242.55</v>
      </c>
      <c r="M534" s="1018"/>
      <c r="N534" s="1018"/>
    </row>
    <row r="535" spans="1:14" ht="16.5" customHeight="1" x14ac:dyDescent="0.2">
      <c r="A535" s="488" t="s">
        <v>779</v>
      </c>
      <c r="B535" s="473">
        <v>968</v>
      </c>
      <c r="C535" s="473">
        <v>1004</v>
      </c>
      <c r="D535" s="473"/>
      <c r="E535" s="473"/>
      <c r="F535" s="478"/>
      <c r="G535" s="478"/>
      <c r="H535" s="2687">
        <f t="shared" si="98"/>
        <v>15941.7</v>
      </c>
      <c r="I535" s="2687">
        <f>I536+I557+I562</f>
        <v>4032.8750000000005</v>
      </c>
      <c r="J535" s="2687">
        <f>J536+J557+J562</f>
        <v>4270.7150000000001</v>
      </c>
      <c r="K535" s="2687">
        <f>K536+K557+K562</f>
        <v>3887.9160000000002</v>
      </c>
      <c r="L535" s="2688">
        <f>L536+L557+L562</f>
        <v>3750.1940000000004</v>
      </c>
      <c r="M535" s="1018"/>
      <c r="N535" s="1018"/>
    </row>
    <row r="536" spans="1:14" ht="39.75" customHeight="1" x14ac:dyDescent="0.2">
      <c r="A536" s="487" t="s">
        <v>1481</v>
      </c>
      <c r="B536" s="166">
        <v>968</v>
      </c>
      <c r="C536" s="166">
        <v>1004</v>
      </c>
      <c r="D536" s="829" t="s">
        <v>1482</v>
      </c>
      <c r="E536" s="829"/>
      <c r="F536" s="831"/>
      <c r="G536" s="831"/>
      <c r="H536" s="959">
        <f t="shared" si="98"/>
        <v>3724</v>
      </c>
      <c r="I536" s="959">
        <f>I537+I543</f>
        <v>1090.9750000000001</v>
      </c>
      <c r="J536" s="959">
        <f>J537+J543</f>
        <v>1191.1590000000001</v>
      </c>
      <c r="K536" s="959">
        <f>K537+K543</f>
        <v>720.91599999999994</v>
      </c>
      <c r="L536" s="832">
        <f>L537+L543</f>
        <v>720.95</v>
      </c>
      <c r="M536" s="1018"/>
      <c r="N536" s="1018"/>
    </row>
    <row r="537" spans="1:14" ht="35.25" customHeight="1" x14ac:dyDescent="0.2">
      <c r="A537" s="2098" t="s">
        <v>1359</v>
      </c>
      <c r="B537" s="1285">
        <v>968</v>
      </c>
      <c r="C537" s="1285">
        <v>1004</v>
      </c>
      <c r="D537" s="1285" t="s">
        <v>1483</v>
      </c>
      <c r="E537" s="1285">
        <v>598</v>
      </c>
      <c r="F537" s="1285">
        <v>100</v>
      </c>
      <c r="G537" s="831"/>
      <c r="H537" s="959">
        <f t="shared" si="98"/>
        <v>3469.0160000000001</v>
      </c>
      <c r="I537" s="959">
        <f>I538</f>
        <v>1052.2750000000001</v>
      </c>
      <c r="J537" s="959">
        <f>J538</f>
        <v>1052.2750000000001</v>
      </c>
      <c r="K537" s="959">
        <f>K538</f>
        <v>682.21599999999989</v>
      </c>
      <c r="L537" s="832">
        <f>L538</f>
        <v>682.25</v>
      </c>
      <c r="M537" s="1018"/>
      <c r="N537" s="1018"/>
    </row>
    <row r="538" spans="1:14" ht="15.75" customHeight="1" x14ac:dyDescent="0.2">
      <c r="A538" s="1278" t="s">
        <v>1215</v>
      </c>
      <c r="B538" s="1285">
        <v>968</v>
      </c>
      <c r="C538" s="1285">
        <v>1004</v>
      </c>
      <c r="D538" s="1280" t="s">
        <v>1483</v>
      </c>
      <c r="E538" s="1280">
        <v>598</v>
      </c>
      <c r="F538" s="1280">
        <v>121</v>
      </c>
      <c r="G538" s="1279"/>
      <c r="H538" s="1287">
        <f t="shared" si="98"/>
        <v>3469.0160000000001</v>
      </c>
      <c r="I538" s="1287">
        <f t="shared" ref="I538:L539" si="99">I539</f>
        <v>1052.2750000000001</v>
      </c>
      <c r="J538" s="1287">
        <f t="shared" si="99"/>
        <v>1052.2750000000001</v>
      </c>
      <c r="K538" s="1287">
        <f t="shared" si="99"/>
        <v>682.21599999999989</v>
      </c>
      <c r="L538" s="1286">
        <f t="shared" si="99"/>
        <v>682.25</v>
      </c>
      <c r="M538" s="1018"/>
      <c r="N538" s="1018"/>
    </row>
    <row r="539" spans="1:14" ht="16.5" customHeight="1" x14ac:dyDescent="0.2">
      <c r="A539" s="465" t="s">
        <v>380</v>
      </c>
      <c r="B539" s="156">
        <v>968</v>
      </c>
      <c r="C539" s="156">
        <v>1004</v>
      </c>
      <c r="D539" s="156" t="s">
        <v>1482</v>
      </c>
      <c r="E539" s="156">
        <v>598</v>
      </c>
      <c r="F539" s="156">
        <v>121</v>
      </c>
      <c r="G539" s="479">
        <v>200</v>
      </c>
      <c r="H539" s="1805">
        <f t="shared" si="98"/>
        <v>3469.0160000000001</v>
      </c>
      <c r="I539" s="1805">
        <f t="shared" si="99"/>
        <v>1052.2750000000001</v>
      </c>
      <c r="J539" s="1805">
        <f t="shared" si="99"/>
        <v>1052.2750000000001</v>
      </c>
      <c r="K539" s="1805">
        <f t="shared" si="99"/>
        <v>682.21599999999989</v>
      </c>
      <c r="L539" s="1804">
        <f t="shared" si="99"/>
        <v>682.25</v>
      </c>
      <c r="M539" s="1018"/>
      <c r="N539" s="1018"/>
    </row>
    <row r="540" spans="1:14" ht="16.5" customHeight="1" x14ac:dyDescent="0.2">
      <c r="A540" s="467" t="s">
        <v>377</v>
      </c>
      <c r="B540" s="474">
        <v>968</v>
      </c>
      <c r="C540" s="474">
        <v>1004</v>
      </c>
      <c r="D540" s="474" t="s">
        <v>1482</v>
      </c>
      <c r="E540" s="474">
        <v>598</v>
      </c>
      <c r="F540" s="474">
        <v>121</v>
      </c>
      <c r="G540" s="480">
        <v>210</v>
      </c>
      <c r="H540" s="2656">
        <f>SUM(H541:H542)</f>
        <v>3469.0160000000001</v>
      </c>
      <c r="I540" s="2656">
        <f>SUM(I541:I542)</f>
        <v>1052.2750000000001</v>
      </c>
      <c r="J540" s="2677">
        <f>SUM(J541:J542)</f>
        <v>1052.2750000000001</v>
      </c>
      <c r="K540" s="2678">
        <f>SUM(K541:K542)</f>
        <v>682.21599999999989</v>
      </c>
      <c r="L540" s="2678">
        <f>SUM(L541:L542)</f>
        <v>682.25</v>
      </c>
      <c r="M540" s="1018"/>
      <c r="N540" s="1018"/>
    </row>
    <row r="541" spans="1:14" ht="16.5" customHeight="1" x14ac:dyDescent="0.2">
      <c r="A541" s="468" t="s">
        <v>125</v>
      </c>
      <c r="B541" s="475">
        <v>968</v>
      </c>
      <c r="C541" s="475">
        <v>1004</v>
      </c>
      <c r="D541" s="475" t="s">
        <v>1482</v>
      </c>
      <c r="E541" s="475">
        <v>598</v>
      </c>
      <c r="F541" s="475">
        <v>121</v>
      </c>
      <c r="G541" s="481">
        <v>211</v>
      </c>
      <c r="H541" s="1803">
        <f t="shared" ref="H541:H549" si="100">SUM(I541:L541)</f>
        <v>2664.375</v>
      </c>
      <c r="I541" s="1803">
        <v>808.19399999999996</v>
      </c>
      <c r="J541" s="2571">
        <v>808.19399999999996</v>
      </c>
      <c r="K541" s="2679">
        <f>808.194-284.201</f>
        <v>523.99299999999994</v>
      </c>
      <c r="L541" s="1802">
        <f>808.194-284.2</f>
        <v>523.99399999999991</v>
      </c>
      <c r="M541" s="1018"/>
      <c r="N541" s="1018"/>
    </row>
    <row r="542" spans="1:14" ht="16.5" customHeight="1" x14ac:dyDescent="0.2">
      <c r="A542" s="468" t="s">
        <v>379</v>
      </c>
      <c r="B542" s="475">
        <v>968</v>
      </c>
      <c r="C542" s="475">
        <v>1004</v>
      </c>
      <c r="D542" s="475" t="s">
        <v>1482</v>
      </c>
      <c r="E542" s="475">
        <v>598</v>
      </c>
      <c r="F542" s="475">
        <v>121</v>
      </c>
      <c r="G542" s="481">
        <v>213</v>
      </c>
      <c r="H542" s="1803">
        <f t="shared" si="100"/>
        <v>804.64100000000008</v>
      </c>
      <c r="I542" s="2680">
        <f>244.074+0.007</f>
        <v>244.08100000000002</v>
      </c>
      <c r="J542" s="2680">
        <f>244.074+0.007</f>
        <v>244.08100000000002</v>
      </c>
      <c r="K542" s="2681">
        <f>244.074+0.007-85.858</f>
        <v>158.22300000000001</v>
      </c>
      <c r="L542" s="2681">
        <f>244.074+0.007-85.825</f>
        <v>158.25600000000003</v>
      </c>
      <c r="M542" s="1018"/>
      <c r="N542" s="1018"/>
    </row>
    <row r="543" spans="1:14" ht="16.5" customHeight="1" x14ac:dyDescent="0.2">
      <c r="A543" s="487" t="s">
        <v>1357</v>
      </c>
      <c r="B543" s="1820">
        <v>968</v>
      </c>
      <c r="C543" s="1820">
        <v>1004</v>
      </c>
      <c r="D543" s="1820" t="s">
        <v>1482</v>
      </c>
      <c r="E543" s="474"/>
      <c r="F543" s="1821">
        <v>200</v>
      </c>
      <c r="G543" s="480"/>
      <c r="H543" s="1287">
        <f t="shared" si="100"/>
        <v>254.98399999999998</v>
      </c>
      <c r="I543" s="1287">
        <f>I544+I550</f>
        <v>38.700000000000003</v>
      </c>
      <c r="J543" s="1287">
        <f>J544+J550</f>
        <v>138.88399999999999</v>
      </c>
      <c r="K543" s="1287">
        <f>K544+K550</f>
        <v>38.700000000000003</v>
      </c>
      <c r="L543" s="1287">
        <f>L544+L550</f>
        <v>38.700000000000003</v>
      </c>
      <c r="M543" s="1018"/>
      <c r="N543" s="1018"/>
    </row>
    <row r="544" spans="1:14" ht="26.25" customHeight="1" x14ac:dyDescent="0.2">
      <c r="A544" s="1278" t="s">
        <v>1218</v>
      </c>
      <c r="B544" s="1285">
        <v>968</v>
      </c>
      <c r="C544" s="1285">
        <v>1004</v>
      </c>
      <c r="D544" s="1285" t="s">
        <v>1482</v>
      </c>
      <c r="E544" s="475"/>
      <c r="F544" s="1279">
        <v>242</v>
      </c>
      <c r="G544" s="481"/>
      <c r="H544" s="1287">
        <f t="shared" si="100"/>
        <v>78.730999999999995</v>
      </c>
      <c r="I544" s="1287">
        <f>I545+I548</f>
        <v>0</v>
      </c>
      <c r="J544" s="1287">
        <f>J545+J548</f>
        <v>78.730999999999995</v>
      </c>
      <c r="K544" s="1287">
        <f>K545+K548</f>
        <v>0</v>
      </c>
      <c r="L544" s="1287">
        <f>L545+L548</f>
        <v>0</v>
      </c>
      <c r="M544" s="1018"/>
      <c r="N544" s="1018"/>
    </row>
    <row r="545" spans="1:14" ht="16.5" customHeight="1" x14ac:dyDescent="0.2">
      <c r="A545" s="465" t="s">
        <v>380</v>
      </c>
      <c r="B545" s="156">
        <v>968</v>
      </c>
      <c r="C545" s="156">
        <v>1004</v>
      </c>
      <c r="D545" s="156" t="s">
        <v>1482</v>
      </c>
      <c r="E545" s="156">
        <v>598</v>
      </c>
      <c r="F545" s="156">
        <v>242</v>
      </c>
      <c r="G545" s="479">
        <v>200</v>
      </c>
      <c r="H545" s="2682">
        <f t="shared" si="100"/>
        <v>56.731000000000002</v>
      </c>
      <c r="I545" s="2682">
        <f t="shared" ref="I545:K546" si="101">I546</f>
        <v>0</v>
      </c>
      <c r="J545" s="2682">
        <f t="shared" si="101"/>
        <v>56.731000000000002</v>
      </c>
      <c r="K545" s="2682">
        <f t="shared" si="101"/>
        <v>0</v>
      </c>
      <c r="L545" s="2669">
        <f>L547</f>
        <v>0</v>
      </c>
      <c r="M545" s="1018"/>
      <c r="N545" s="1018"/>
    </row>
    <row r="546" spans="1:14" ht="16.5" customHeight="1" x14ac:dyDescent="0.2">
      <c r="A546" s="467" t="s">
        <v>381</v>
      </c>
      <c r="B546" s="474">
        <v>968</v>
      </c>
      <c r="C546" s="474">
        <v>1004</v>
      </c>
      <c r="D546" s="474" t="s">
        <v>1482</v>
      </c>
      <c r="E546" s="474">
        <v>598</v>
      </c>
      <c r="F546" s="474">
        <v>242</v>
      </c>
      <c r="G546" s="480">
        <v>220</v>
      </c>
      <c r="H546" s="2656">
        <f t="shared" si="100"/>
        <v>56.731000000000002</v>
      </c>
      <c r="I546" s="2656">
        <f t="shared" si="101"/>
        <v>0</v>
      </c>
      <c r="J546" s="2656">
        <f t="shared" si="101"/>
        <v>56.731000000000002</v>
      </c>
      <c r="K546" s="2656">
        <f t="shared" si="101"/>
        <v>0</v>
      </c>
      <c r="L546" s="2656">
        <f>L547</f>
        <v>0</v>
      </c>
      <c r="M546" s="1018"/>
      <c r="N546" s="1018"/>
    </row>
    <row r="547" spans="1:14" ht="16.5" customHeight="1" x14ac:dyDescent="0.2">
      <c r="A547" s="468" t="s">
        <v>383</v>
      </c>
      <c r="B547" s="475">
        <v>968</v>
      </c>
      <c r="C547" s="475">
        <v>1004</v>
      </c>
      <c r="D547" s="475" t="s">
        <v>1484</v>
      </c>
      <c r="E547" s="475">
        <v>598</v>
      </c>
      <c r="F547" s="475">
        <v>242</v>
      </c>
      <c r="G547" s="481">
        <v>226</v>
      </c>
      <c r="H547" s="1803">
        <f t="shared" si="100"/>
        <v>56.731000000000002</v>
      </c>
      <c r="I547" s="1803">
        <v>0</v>
      </c>
      <c r="J547" s="1803">
        <v>56.731000000000002</v>
      </c>
      <c r="K547" s="1802">
        <v>0</v>
      </c>
      <c r="L547" s="1802">
        <v>0</v>
      </c>
      <c r="M547" s="1018"/>
      <c r="N547" s="1018"/>
    </row>
    <row r="548" spans="1:14" ht="16.5" customHeight="1" x14ac:dyDescent="0.2">
      <c r="A548" s="465" t="s">
        <v>384</v>
      </c>
      <c r="B548" s="156">
        <v>968</v>
      </c>
      <c r="C548" s="156">
        <v>1004</v>
      </c>
      <c r="D548" s="156" t="s">
        <v>1482</v>
      </c>
      <c r="E548" s="156">
        <v>598</v>
      </c>
      <c r="F548" s="156">
        <v>242</v>
      </c>
      <c r="G548" s="479">
        <v>300</v>
      </c>
      <c r="H548" s="1805">
        <f t="shared" si="100"/>
        <v>22</v>
      </c>
      <c r="I548" s="1805">
        <f>I549</f>
        <v>0</v>
      </c>
      <c r="J548" s="1805">
        <f>J549</f>
        <v>22</v>
      </c>
      <c r="K548" s="1805">
        <f>K549</f>
        <v>0</v>
      </c>
      <c r="L548" s="1805">
        <f>L549</f>
        <v>0</v>
      </c>
      <c r="M548" s="1018"/>
      <c r="N548" s="1018"/>
    </row>
    <row r="549" spans="1:14" ht="16.5" customHeight="1" x14ac:dyDescent="0.2">
      <c r="A549" s="467" t="s">
        <v>279</v>
      </c>
      <c r="B549" s="474">
        <v>968</v>
      </c>
      <c r="C549" s="474">
        <v>1004</v>
      </c>
      <c r="D549" s="474" t="s">
        <v>1482</v>
      </c>
      <c r="E549" s="474">
        <v>598</v>
      </c>
      <c r="F549" s="474">
        <v>242</v>
      </c>
      <c r="G549" s="480">
        <v>310</v>
      </c>
      <c r="H549" s="2656">
        <f t="shared" si="100"/>
        <v>22</v>
      </c>
      <c r="I549" s="2656">
        <f>57.3-57.3</f>
        <v>0</v>
      </c>
      <c r="J549" s="1805">
        <v>22</v>
      </c>
      <c r="K549" s="1804">
        <v>0</v>
      </c>
      <c r="L549" s="1804">
        <v>0</v>
      </c>
      <c r="M549" s="1018"/>
      <c r="N549" s="1018"/>
    </row>
    <row r="550" spans="1:14" ht="16.5" customHeight="1" x14ac:dyDescent="0.2">
      <c r="A550" s="1278" t="s">
        <v>1201</v>
      </c>
      <c r="B550" s="1285">
        <v>968</v>
      </c>
      <c r="C550" s="1285">
        <v>1004</v>
      </c>
      <c r="D550" s="1285" t="s">
        <v>1482</v>
      </c>
      <c r="E550" s="475"/>
      <c r="F550" s="1279">
        <v>244</v>
      </c>
      <c r="G550" s="481"/>
      <c r="H550" s="1287">
        <f t="shared" ref="H550:H556" si="102">SUM(I550:L550)</f>
        <v>176.25299999999999</v>
      </c>
      <c r="I550" s="1287">
        <f>I551+I554</f>
        <v>38.700000000000003</v>
      </c>
      <c r="J550" s="1287">
        <f>J551+J554</f>
        <v>60.152999999999999</v>
      </c>
      <c r="K550" s="1287">
        <f>K551+K554</f>
        <v>38.700000000000003</v>
      </c>
      <c r="L550" s="1286">
        <f>L551+L554</f>
        <v>38.700000000000003</v>
      </c>
      <c r="M550" s="1018"/>
      <c r="N550" s="1018"/>
    </row>
    <row r="551" spans="1:14" ht="16.5" customHeight="1" x14ac:dyDescent="0.2">
      <c r="A551" s="465" t="s">
        <v>380</v>
      </c>
      <c r="B551" s="156">
        <v>968</v>
      </c>
      <c r="C551" s="156">
        <v>1004</v>
      </c>
      <c r="D551" s="156" t="s">
        <v>1482</v>
      </c>
      <c r="E551" s="156">
        <v>598</v>
      </c>
      <c r="F551" s="156">
        <v>244</v>
      </c>
      <c r="G551" s="479">
        <v>200</v>
      </c>
      <c r="H551" s="2682">
        <f t="shared" si="102"/>
        <v>154.80000000000001</v>
      </c>
      <c r="I551" s="2682">
        <f t="shared" ref="I551:L552" si="103">I552</f>
        <v>38.700000000000003</v>
      </c>
      <c r="J551" s="2682">
        <f t="shared" si="103"/>
        <v>38.700000000000003</v>
      </c>
      <c r="K551" s="2682">
        <f t="shared" si="103"/>
        <v>38.700000000000003</v>
      </c>
      <c r="L551" s="2669">
        <f t="shared" si="103"/>
        <v>38.700000000000003</v>
      </c>
      <c r="M551" s="1018"/>
      <c r="N551" s="1018"/>
    </row>
    <row r="552" spans="1:14" ht="16.5" customHeight="1" x14ac:dyDescent="0.2">
      <c r="A552" s="467" t="s">
        <v>381</v>
      </c>
      <c r="B552" s="474">
        <v>968</v>
      </c>
      <c r="C552" s="474">
        <v>1004</v>
      </c>
      <c r="D552" s="474" t="s">
        <v>1482</v>
      </c>
      <c r="E552" s="474">
        <v>598</v>
      </c>
      <c r="F552" s="474">
        <v>244</v>
      </c>
      <c r="G552" s="480">
        <v>220</v>
      </c>
      <c r="H552" s="2656">
        <f t="shared" si="102"/>
        <v>154.80000000000001</v>
      </c>
      <c r="I552" s="2656">
        <f t="shared" si="103"/>
        <v>38.700000000000003</v>
      </c>
      <c r="J552" s="2656">
        <f t="shared" si="103"/>
        <v>38.700000000000003</v>
      </c>
      <c r="K552" s="2657">
        <f t="shared" si="103"/>
        <v>38.700000000000003</v>
      </c>
      <c r="L552" s="2657">
        <f t="shared" si="103"/>
        <v>38.700000000000003</v>
      </c>
      <c r="M552" s="1018"/>
      <c r="N552" s="1018"/>
    </row>
    <row r="553" spans="1:14" ht="16.5" customHeight="1" x14ac:dyDescent="0.2">
      <c r="A553" s="468" t="s">
        <v>131</v>
      </c>
      <c r="B553" s="475">
        <v>968</v>
      </c>
      <c r="C553" s="475">
        <v>1004</v>
      </c>
      <c r="D553" s="475" t="s">
        <v>1484</v>
      </c>
      <c r="E553" s="475">
        <v>598</v>
      </c>
      <c r="F553" s="475">
        <v>244</v>
      </c>
      <c r="G553" s="481">
        <v>222</v>
      </c>
      <c r="H553" s="1803">
        <f t="shared" si="102"/>
        <v>154.80000000000001</v>
      </c>
      <c r="I553" s="1803">
        <v>38.700000000000003</v>
      </c>
      <c r="J553" s="1803">
        <v>38.700000000000003</v>
      </c>
      <c r="K553" s="1802">
        <v>38.700000000000003</v>
      </c>
      <c r="L553" s="1802">
        <v>38.700000000000003</v>
      </c>
      <c r="M553" s="1018"/>
      <c r="N553" s="1018"/>
    </row>
    <row r="554" spans="1:14" ht="16.5" customHeight="1" x14ac:dyDescent="0.2">
      <c r="A554" s="465" t="s">
        <v>384</v>
      </c>
      <c r="B554" s="156">
        <v>968</v>
      </c>
      <c r="C554" s="156">
        <v>1004</v>
      </c>
      <c r="D554" s="156" t="s">
        <v>1482</v>
      </c>
      <c r="E554" s="156">
        <v>598</v>
      </c>
      <c r="F554" s="156">
        <v>244</v>
      </c>
      <c r="G554" s="479">
        <v>300</v>
      </c>
      <c r="H554" s="1805">
        <f t="shared" si="102"/>
        <v>21.452999999999996</v>
      </c>
      <c r="I554" s="1805">
        <f>SUM(I555:I556)</f>
        <v>0</v>
      </c>
      <c r="J554" s="1805">
        <f>SUM(J555:J556)</f>
        <v>21.452999999999996</v>
      </c>
      <c r="K554" s="1805">
        <f>SUM(K555:K556)</f>
        <v>0</v>
      </c>
      <c r="L554" s="1804">
        <f>SUM(L555:L556)</f>
        <v>0</v>
      </c>
      <c r="M554" s="1018"/>
      <c r="N554" s="1018"/>
    </row>
    <row r="555" spans="1:14" ht="16.5" hidden="1" customHeight="1" x14ac:dyDescent="0.2">
      <c r="A555" s="467" t="s">
        <v>279</v>
      </c>
      <c r="B555" s="474">
        <v>968</v>
      </c>
      <c r="C555" s="474">
        <v>1004</v>
      </c>
      <c r="D555" s="474" t="s">
        <v>1482</v>
      </c>
      <c r="E555" s="474">
        <v>598</v>
      </c>
      <c r="F555" s="474">
        <v>244</v>
      </c>
      <c r="G555" s="480">
        <v>310</v>
      </c>
      <c r="H555" s="2656">
        <f t="shared" si="102"/>
        <v>0</v>
      </c>
      <c r="I555" s="2656">
        <f>57.3-57.3</f>
        <v>0</v>
      </c>
      <c r="J555" s="1805">
        <f>75.6-75.6</f>
        <v>0</v>
      </c>
      <c r="K555" s="1804">
        <v>0</v>
      </c>
      <c r="L555" s="1804">
        <v>0</v>
      </c>
      <c r="M555" s="1018"/>
      <c r="N555" s="1018"/>
    </row>
    <row r="556" spans="1:14" ht="16.5" customHeight="1" x14ac:dyDescent="0.2">
      <c r="A556" s="467" t="s">
        <v>280</v>
      </c>
      <c r="B556" s="474">
        <v>968</v>
      </c>
      <c r="C556" s="474">
        <v>1004</v>
      </c>
      <c r="D556" s="474" t="s">
        <v>1482</v>
      </c>
      <c r="E556" s="474">
        <v>598</v>
      </c>
      <c r="F556" s="474">
        <v>244</v>
      </c>
      <c r="G556" s="480">
        <v>340</v>
      </c>
      <c r="H556" s="2656">
        <f t="shared" si="102"/>
        <v>21.452999999999996</v>
      </c>
      <c r="I556" s="2656">
        <f>57.3-57.3</f>
        <v>0</v>
      </c>
      <c r="J556" s="2656">
        <f>75.6-3.131-51.016</f>
        <v>21.452999999999996</v>
      </c>
      <c r="K556" s="2657">
        <v>0</v>
      </c>
      <c r="L556" s="2657">
        <v>0</v>
      </c>
      <c r="M556" s="1018"/>
      <c r="N556" s="1018"/>
    </row>
    <row r="557" spans="1:14" ht="33.75" customHeight="1" x14ac:dyDescent="0.2">
      <c r="A557" s="487" t="s">
        <v>1485</v>
      </c>
      <c r="B557" s="166">
        <v>968</v>
      </c>
      <c r="C557" s="166">
        <v>1004</v>
      </c>
      <c r="D557" s="166" t="s">
        <v>1486</v>
      </c>
      <c r="E557" s="166"/>
      <c r="F557" s="482"/>
      <c r="G557" s="482"/>
      <c r="H557" s="959">
        <f>H559</f>
        <v>9259.7999999999993</v>
      </c>
      <c r="I557" s="2689">
        <f t="shared" ref="I557:L560" si="104">I558</f>
        <v>2315</v>
      </c>
      <c r="J557" s="2690">
        <f t="shared" si="104"/>
        <v>2314.9</v>
      </c>
      <c r="K557" s="2690">
        <f t="shared" si="104"/>
        <v>2315</v>
      </c>
      <c r="L557" s="2691">
        <f t="shared" si="104"/>
        <v>2314.9</v>
      </c>
      <c r="M557" s="1018"/>
      <c r="N557" s="1018"/>
    </row>
    <row r="558" spans="1:14" ht="16.5" customHeight="1" x14ac:dyDescent="0.2">
      <c r="A558" s="1278" t="s">
        <v>1358</v>
      </c>
      <c r="B558" s="1285">
        <v>968</v>
      </c>
      <c r="C558" s="1285">
        <v>1004</v>
      </c>
      <c r="D558" s="1285" t="s">
        <v>1486</v>
      </c>
      <c r="E558" s="1285">
        <v>598</v>
      </c>
      <c r="F558" s="1285">
        <v>300</v>
      </c>
      <c r="G558" s="482"/>
      <c r="H558" s="959">
        <f>SUM(I558:L558)</f>
        <v>9259.7999999999993</v>
      </c>
      <c r="I558" s="2689">
        <f t="shared" si="104"/>
        <v>2315</v>
      </c>
      <c r="J558" s="2690">
        <f t="shared" si="104"/>
        <v>2314.9</v>
      </c>
      <c r="K558" s="2690">
        <f t="shared" si="104"/>
        <v>2315</v>
      </c>
      <c r="L558" s="2691">
        <f t="shared" si="104"/>
        <v>2314.9</v>
      </c>
      <c r="M558" s="1018"/>
      <c r="N558" s="1018"/>
    </row>
    <row r="559" spans="1:14" ht="24" customHeight="1" x14ac:dyDescent="0.2">
      <c r="A559" s="1278" t="s">
        <v>1320</v>
      </c>
      <c r="B559" s="1285">
        <v>968</v>
      </c>
      <c r="C559" s="1285">
        <v>1004</v>
      </c>
      <c r="D559" s="1285" t="s">
        <v>1486</v>
      </c>
      <c r="E559" s="1285">
        <v>598</v>
      </c>
      <c r="F559" s="1285">
        <v>313</v>
      </c>
      <c r="G559" s="1279"/>
      <c r="H559" s="1287">
        <f>H560</f>
        <v>9259.7999999999993</v>
      </c>
      <c r="I559" s="2692">
        <f t="shared" si="104"/>
        <v>2315</v>
      </c>
      <c r="J559" s="2116">
        <f t="shared" si="104"/>
        <v>2314.9</v>
      </c>
      <c r="K559" s="2116">
        <f t="shared" si="104"/>
        <v>2315</v>
      </c>
      <c r="L559" s="2240">
        <f t="shared" si="104"/>
        <v>2314.9</v>
      </c>
      <c r="M559" s="1018"/>
      <c r="N559" s="1018"/>
    </row>
    <row r="560" spans="1:14" x14ac:dyDescent="0.2">
      <c r="A560" s="467" t="s">
        <v>386</v>
      </c>
      <c r="B560" s="474">
        <v>968</v>
      </c>
      <c r="C560" s="474">
        <v>1004</v>
      </c>
      <c r="D560" s="474" t="s">
        <v>1486</v>
      </c>
      <c r="E560" s="474">
        <v>598</v>
      </c>
      <c r="F560" s="474">
        <v>313</v>
      </c>
      <c r="G560" s="480">
        <v>260</v>
      </c>
      <c r="H560" s="2656">
        <f>H561</f>
        <v>9259.7999999999993</v>
      </c>
      <c r="I560" s="2693">
        <f t="shared" si="104"/>
        <v>2315</v>
      </c>
      <c r="J560" s="2694">
        <f t="shared" si="104"/>
        <v>2314.9</v>
      </c>
      <c r="K560" s="2694">
        <f t="shared" si="104"/>
        <v>2315</v>
      </c>
      <c r="L560" s="2695">
        <f t="shared" si="104"/>
        <v>2314.9</v>
      </c>
      <c r="M560" s="1018"/>
      <c r="N560" s="1018"/>
    </row>
    <row r="561" spans="1:14" x14ac:dyDescent="0.2">
      <c r="A561" s="468" t="s">
        <v>387</v>
      </c>
      <c r="B561" s="475">
        <v>968</v>
      </c>
      <c r="C561" s="475">
        <v>1004</v>
      </c>
      <c r="D561" s="475" t="s">
        <v>1486</v>
      </c>
      <c r="E561" s="475">
        <v>598</v>
      </c>
      <c r="F561" s="475">
        <v>313</v>
      </c>
      <c r="G561" s="481">
        <v>262</v>
      </c>
      <c r="H561" s="1803">
        <f>SUM(I561:L561)</f>
        <v>9259.7999999999993</v>
      </c>
      <c r="I561" s="2696">
        <v>2315</v>
      </c>
      <c r="J561" s="2571">
        <v>2314.9</v>
      </c>
      <c r="K561" s="2571">
        <f>2315</f>
        <v>2315</v>
      </c>
      <c r="L561" s="2645">
        <f>2314.9</f>
        <v>2314.9</v>
      </c>
      <c r="M561" s="1018"/>
      <c r="N561" s="1018"/>
    </row>
    <row r="562" spans="1:14" ht="33.75" customHeight="1" x14ac:dyDescent="0.2">
      <c r="A562" s="487" t="s">
        <v>1487</v>
      </c>
      <c r="B562" s="166">
        <v>968</v>
      </c>
      <c r="C562" s="166">
        <v>1004</v>
      </c>
      <c r="D562" s="166" t="s">
        <v>1488</v>
      </c>
      <c r="E562" s="166"/>
      <c r="F562" s="166"/>
      <c r="G562" s="482"/>
      <c r="H562" s="959">
        <f>H564</f>
        <v>2957.9</v>
      </c>
      <c r="I562" s="2689">
        <f t="shared" ref="I562:L563" si="105">I563</f>
        <v>626.9</v>
      </c>
      <c r="J562" s="2690">
        <f t="shared" si="105"/>
        <v>764.65599999999995</v>
      </c>
      <c r="K562" s="2690">
        <f t="shared" si="105"/>
        <v>852</v>
      </c>
      <c r="L562" s="2691">
        <f t="shared" si="105"/>
        <v>714.34400000000005</v>
      </c>
      <c r="M562" s="1018"/>
      <c r="N562" s="1018"/>
    </row>
    <row r="563" spans="1:14" ht="15.75" customHeight="1" x14ac:dyDescent="0.2">
      <c r="A563" s="1278" t="s">
        <v>1358</v>
      </c>
      <c r="B563" s="1285">
        <v>968</v>
      </c>
      <c r="C563" s="1285">
        <v>1004</v>
      </c>
      <c r="D563" s="1285" t="s">
        <v>1488</v>
      </c>
      <c r="E563" s="1285">
        <v>598</v>
      </c>
      <c r="F563" s="1285">
        <v>300</v>
      </c>
      <c r="G563" s="482"/>
      <c r="H563" s="959">
        <f>SUM(I563:L563)</f>
        <v>2957.9</v>
      </c>
      <c r="I563" s="2689">
        <f t="shared" si="105"/>
        <v>626.9</v>
      </c>
      <c r="J563" s="2690">
        <f t="shared" si="105"/>
        <v>764.65599999999995</v>
      </c>
      <c r="K563" s="2690">
        <f t="shared" si="105"/>
        <v>852</v>
      </c>
      <c r="L563" s="2691">
        <f t="shared" si="105"/>
        <v>714.34400000000005</v>
      </c>
      <c r="M563" s="1018"/>
      <c r="N563" s="1018"/>
    </row>
    <row r="564" spans="1:14" ht="24.75" customHeight="1" x14ac:dyDescent="0.2">
      <c r="A564" s="1278" t="s">
        <v>1577</v>
      </c>
      <c r="B564" s="1285">
        <v>968</v>
      </c>
      <c r="C564" s="1285">
        <v>1004</v>
      </c>
      <c r="D564" s="1285" t="s">
        <v>1488</v>
      </c>
      <c r="E564" s="1285">
        <v>598</v>
      </c>
      <c r="F564" s="1285">
        <v>323</v>
      </c>
      <c r="G564" s="1279"/>
      <c r="H564" s="1287">
        <f>H565</f>
        <v>2957.9</v>
      </c>
      <c r="I564" s="2692">
        <f t="shared" ref="I564:L565" si="106">I565</f>
        <v>626.9</v>
      </c>
      <c r="J564" s="2116">
        <f t="shared" si="106"/>
        <v>764.65599999999995</v>
      </c>
      <c r="K564" s="2116">
        <f t="shared" si="106"/>
        <v>852</v>
      </c>
      <c r="L564" s="2240">
        <f t="shared" si="106"/>
        <v>714.34400000000005</v>
      </c>
      <c r="M564" s="1018"/>
      <c r="N564" s="1018"/>
    </row>
    <row r="565" spans="1:14" x14ac:dyDescent="0.2">
      <c r="A565" s="465" t="s">
        <v>380</v>
      </c>
      <c r="B565" s="156">
        <v>968</v>
      </c>
      <c r="C565" s="156">
        <v>1004</v>
      </c>
      <c r="D565" s="156" t="s">
        <v>1488</v>
      </c>
      <c r="E565" s="156">
        <v>598</v>
      </c>
      <c r="F565" s="156">
        <v>323</v>
      </c>
      <c r="G565" s="479">
        <v>200</v>
      </c>
      <c r="H565" s="1805">
        <f>H566</f>
        <v>2957.9</v>
      </c>
      <c r="I565" s="1805">
        <f t="shared" si="106"/>
        <v>626.9</v>
      </c>
      <c r="J565" s="1804">
        <f t="shared" si="106"/>
        <v>764.65599999999995</v>
      </c>
      <c r="K565" s="1804">
        <f t="shared" si="106"/>
        <v>852</v>
      </c>
      <c r="L565" s="1804">
        <f t="shared" si="106"/>
        <v>714.34400000000005</v>
      </c>
      <c r="M565" s="1018"/>
      <c r="N565" s="1018"/>
    </row>
    <row r="566" spans="1:14" x14ac:dyDescent="0.2">
      <c r="A566" s="467" t="s">
        <v>381</v>
      </c>
      <c r="B566" s="474">
        <v>968</v>
      </c>
      <c r="C566" s="474">
        <v>1004</v>
      </c>
      <c r="D566" s="474" t="s">
        <v>1488</v>
      </c>
      <c r="E566" s="474">
        <v>598</v>
      </c>
      <c r="F566" s="474">
        <v>323</v>
      </c>
      <c r="G566" s="480">
        <v>220</v>
      </c>
      <c r="H566" s="2656">
        <f>H567</f>
        <v>2957.9</v>
      </c>
      <c r="I566" s="2656">
        <f>I567</f>
        <v>626.9</v>
      </c>
      <c r="J566" s="2657">
        <f>J567</f>
        <v>764.65599999999995</v>
      </c>
      <c r="K566" s="2657">
        <f>K567</f>
        <v>852</v>
      </c>
      <c r="L566" s="2657">
        <f>L567</f>
        <v>714.34400000000005</v>
      </c>
      <c r="M566" s="1018"/>
      <c r="N566" s="1018"/>
    </row>
    <row r="567" spans="1:14" ht="15" customHeight="1" thickBot="1" x14ac:dyDescent="0.25">
      <c r="A567" s="739" t="s">
        <v>383</v>
      </c>
      <c r="B567" s="740">
        <v>968</v>
      </c>
      <c r="C567" s="740">
        <v>1004</v>
      </c>
      <c r="D567" s="740" t="s">
        <v>1488</v>
      </c>
      <c r="E567" s="740">
        <v>598</v>
      </c>
      <c r="F567" s="740">
        <v>323</v>
      </c>
      <c r="G567" s="741">
        <v>226</v>
      </c>
      <c r="H567" s="2588">
        <f>SUM(I567:L567)</f>
        <v>2957.9</v>
      </c>
      <c r="I567" s="2588">
        <v>626.9</v>
      </c>
      <c r="J567" s="2587">
        <f>627+137.656</f>
        <v>764.65599999999995</v>
      </c>
      <c r="K567" s="2587">
        <f>626.9+225.1</f>
        <v>852</v>
      </c>
      <c r="L567" s="2587">
        <f>627+225-137.656</f>
        <v>714.34400000000005</v>
      </c>
      <c r="M567" s="1018"/>
      <c r="N567" s="1018"/>
    </row>
    <row r="568" spans="1:14" ht="26.25" hidden="1" customHeight="1" thickBot="1" x14ac:dyDescent="0.25">
      <c r="A568" s="762" t="s">
        <v>984</v>
      </c>
      <c r="B568" s="763">
        <v>917</v>
      </c>
      <c r="C568" s="764"/>
      <c r="D568" s="764"/>
      <c r="E568" s="764"/>
      <c r="F568" s="765"/>
      <c r="G568" s="765"/>
      <c r="H568" s="2639">
        <f t="shared" ref="H568:L570" si="107">H569</f>
        <v>0</v>
      </c>
      <c r="I568" s="2639">
        <f t="shared" si="107"/>
        <v>0</v>
      </c>
      <c r="J568" s="2640">
        <f t="shared" si="107"/>
        <v>0</v>
      </c>
      <c r="K568" s="2640">
        <f t="shared" si="107"/>
        <v>0</v>
      </c>
      <c r="L568" s="2640">
        <f t="shared" si="107"/>
        <v>0</v>
      </c>
      <c r="M568" s="1018"/>
      <c r="N568" s="1018"/>
    </row>
    <row r="569" spans="1:14" ht="18" hidden="1" customHeight="1" thickBot="1" x14ac:dyDescent="0.25">
      <c r="A569" s="922" t="s">
        <v>122</v>
      </c>
      <c r="B569" s="923">
        <v>968</v>
      </c>
      <c r="C569" s="923">
        <v>100</v>
      </c>
      <c r="D569" s="924"/>
      <c r="E569" s="924"/>
      <c r="F569" s="925"/>
      <c r="G569" s="925"/>
      <c r="H569" s="2641">
        <f t="shared" si="107"/>
        <v>0</v>
      </c>
      <c r="I569" s="2641">
        <f t="shared" si="107"/>
        <v>0</v>
      </c>
      <c r="J569" s="2642">
        <f t="shared" si="107"/>
        <v>0</v>
      </c>
      <c r="K569" s="2642">
        <f t="shared" si="107"/>
        <v>0</v>
      </c>
      <c r="L569" s="2642">
        <f t="shared" si="107"/>
        <v>0</v>
      </c>
      <c r="M569" s="1018"/>
      <c r="N569" s="1018"/>
    </row>
    <row r="570" spans="1:14" ht="15.75" hidden="1" customHeight="1" x14ac:dyDescent="0.2">
      <c r="A570" s="776" t="s">
        <v>28</v>
      </c>
      <c r="B570" s="777">
        <v>917</v>
      </c>
      <c r="C570" s="777">
        <v>107</v>
      </c>
      <c r="D570" s="777"/>
      <c r="E570" s="777"/>
      <c r="F570" s="859"/>
      <c r="G570" s="859"/>
      <c r="H570" s="2643">
        <f t="shared" si="107"/>
        <v>0</v>
      </c>
      <c r="I570" s="2643">
        <f t="shared" si="107"/>
        <v>0</v>
      </c>
      <c r="J570" s="2644">
        <f t="shared" si="107"/>
        <v>0</v>
      </c>
      <c r="K570" s="2644">
        <f t="shared" si="107"/>
        <v>0</v>
      </c>
      <c r="L570" s="2644">
        <f t="shared" si="107"/>
        <v>0</v>
      </c>
      <c r="M570" s="1018"/>
      <c r="N570" s="1018"/>
    </row>
    <row r="571" spans="1:14" ht="17.25" hidden="1" customHeight="1" x14ac:dyDescent="0.2">
      <c r="A571" s="487" t="s">
        <v>161</v>
      </c>
      <c r="B571" s="166">
        <v>917</v>
      </c>
      <c r="C571" s="166">
        <v>107</v>
      </c>
      <c r="D571" s="166" t="s">
        <v>162</v>
      </c>
      <c r="E571" s="166"/>
      <c r="F571" s="482"/>
      <c r="G571" s="482"/>
      <c r="H571" s="2599">
        <f>H574</f>
        <v>0</v>
      </c>
      <c r="I571" s="2599">
        <f>I574</f>
        <v>0</v>
      </c>
      <c r="J571" s="2598">
        <f>J574</f>
        <v>0</v>
      </c>
      <c r="K571" s="2598">
        <f>K574</f>
        <v>0</v>
      </c>
      <c r="L571" s="2598">
        <f>L574</f>
        <v>0</v>
      </c>
      <c r="M571" s="1018"/>
      <c r="N571" s="1018"/>
    </row>
    <row r="572" spans="1:14" ht="17.25" hidden="1" customHeight="1" x14ac:dyDescent="0.2">
      <c r="A572" s="487" t="s">
        <v>469</v>
      </c>
      <c r="B572" s="156">
        <v>917</v>
      </c>
      <c r="C572" s="156">
        <v>107</v>
      </c>
      <c r="D572" s="156" t="s">
        <v>162</v>
      </c>
      <c r="E572" s="156">
        <v>500</v>
      </c>
      <c r="F572" s="479"/>
      <c r="G572" s="479"/>
      <c r="H572" s="2608">
        <f t="shared" ref="H572:L573" si="108">H573</f>
        <v>0</v>
      </c>
      <c r="I572" s="2608">
        <f t="shared" si="108"/>
        <v>0</v>
      </c>
      <c r="J572" s="2607">
        <f t="shared" si="108"/>
        <v>0</v>
      </c>
      <c r="K572" s="2607">
        <f t="shared" si="108"/>
        <v>0</v>
      </c>
      <c r="L572" s="2607">
        <f t="shared" si="108"/>
        <v>0</v>
      </c>
      <c r="M572" s="1018"/>
      <c r="N572" s="1018"/>
    </row>
    <row r="573" spans="1:14" ht="13.5" hidden="1" thickBot="1" x14ac:dyDescent="0.25">
      <c r="A573" s="465" t="s">
        <v>380</v>
      </c>
      <c r="B573" s="156">
        <v>917</v>
      </c>
      <c r="C573" s="156">
        <v>107</v>
      </c>
      <c r="D573" s="156" t="s">
        <v>162</v>
      </c>
      <c r="E573" s="156">
        <v>500</v>
      </c>
      <c r="F573" s="479"/>
      <c r="G573" s="479">
        <v>200</v>
      </c>
      <c r="H573" s="2608">
        <f t="shared" si="108"/>
        <v>0</v>
      </c>
      <c r="I573" s="2608">
        <f t="shared" si="108"/>
        <v>0</v>
      </c>
      <c r="J573" s="2607">
        <f t="shared" si="108"/>
        <v>0</v>
      </c>
      <c r="K573" s="2607">
        <f t="shared" si="108"/>
        <v>0</v>
      </c>
      <c r="L573" s="2607">
        <f t="shared" si="108"/>
        <v>0</v>
      </c>
      <c r="M573" s="1018"/>
      <c r="N573" s="1018"/>
    </row>
    <row r="574" spans="1:14" ht="13.5" hidden="1" thickBot="1" x14ac:dyDescent="0.25">
      <c r="A574" s="860" t="s">
        <v>278</v>
      </c>
      <c r="B574" s="861">
        <v>917</v>
      </c>
      <c r="C574" s="861">
        <v>107</v>
      </c>
      <c r="D574" s="861" t="s">
        <v>162</v>
      </c>
      <c r="E574" s="861">
        <v>500</v>
      </c>
      <c r="F574" s="862"/>
      <c r="G574" s="862">
        <v>290</v>
      </c>
      <c r="H574" s="2628">
        <f t="shared" ref="H574:H580" si="109">SUM(I574:L574)</f>
        <v>0</v>
      </c>
      <c r="I574" s="2628">
        <v>0</v>
      </c>
      <c r="J574" s="2627">
        <v>0</v>
      </c>
      <c r="K574" s="2627">
        <v>0</v>
      </c>
      <c r="L574" s="2627">
        <v>0</v>
      </c>
      <c r="M574" s="1018"/>
      <c r="N574" s="1018"/>
    </row>
    <row r="575" spans="1:14" ht="15.75" thickBot="1" x14ac:dyDescent="0.25">
      <c r="A575" s="747" t="s">
        <v>1018</v>
      </c>
      <c r="B575" s="748">
        <v>968</v>
      </c>
      <c r="C575" s="748">
        <v>1100</v>
      </c>
      <c r="D575" s="748"/>
      <c r="E575" s="748"/>
      <c r="F575" s="749"/>
      <c r="G575" s="749"/>
      <c r="H575" s="2654">
        <f t="shared" si="109"/>
        <v>3557.8850000000002</v>
      </c>
      <c r="I575" s="2654">
        <f t="shared" ref="I575:L577" si="110">I576</f>
        <v>1040.6850000000002</v>
      </c>
      <c r="J575" s="2654">
        <f t="shared" si="110"/>
        <v>1618.2</v>
      </c>
      <c r="K575" s="2654">
        <f t="shared" si="110"/>
        <v>79.40000000000002</v>
      </c>
      <c r="L575" s="2655">
        <f t="shared" si="110"/>
        <v>819.6</v>
      </c>
      <c r="M575" s="1018"/>
      <c r="N575" s="1018"/>
    </row>
    <row r="576" spans="1:14" ht="15" x14ac:dyDescent="0.2">
      <c r="A576" s="743" t="s">
        <v>1019</v>
      </c>
      <c r="B576" s="744">
        <v>968</v>
      </c>
      <c r="C576" s="744">
        <v>1102</v>
      </c>
      <c r="D576" s="744"/>
      <c r="E576" s="744"/>
      <c r="F576" s="745"/>
      <c r="G576" s="745"/>
      <c r="H576" s="2651">
        <f t="shared" si="109"/>
        <v>3557.8850000000002</v>
      </c>
      <c r="I576" s="2651">
        <f>I577</f>
        <v>1040.6850000000002</v>
      </c>
      <c r="J576" s="2652">
        <f t="shared" si="110"/>
        <v>1618.2</v>
      </c>
      <c r="K576" s="2652">
        <f t="shared" si="110"/>
        <v>79.40000000000002</v>
      </c>
      <c r="L576" s="2652">
        <f t="shared" si="110"/>
        <v>819.6</v>
      </c>
      <c r="M576" s="1018"/>
      <c r="N576" s="1018"/>
    </row>
    <row r="577" spans="1:14" ht="48.75" customHeight="1" x14ac:dyDescent="0.2">
      <c r="A577" s="487" t="s">
        <v>1594</v>
      </c>
      <c r="B577" s="166">
        <v>968</v>
      </c>
      <c r="C577" s="166">
        <v>1102</v>
      </c>
      <c r="D577" s="166" t="s">
        <v>1471</v>
      </c>
      <c r="E577" s="166"/>
      <c r="F577" s="482"/>
      <c r="G577" s="482"/>
      <c r="H577" s="959">
        <f t="shared" si="109"/>
        <v>3557.8850000000002</v>
      </c>
      <c r="I577" s="959">
        <f>I578</f>
        <v>1040.6850000000002</v>
      </c>
      <c r="J577" s="959">
        <f t="shared" si="110"/>
        <v>1618.2</v>
      </c>
      <c r="K577" s="959">
        <f t="shared" si="110"/>
        <v>79.40000000000002</v>
      </c>
      <c r="L577" s="832">
        <f t="shared" si="110"/>
        <v>819.6</v>
      </c>
      <c r="M577" s="1018"/>
      <c r="N577" s="1018"/>
    </row>
    <row r="578" spans="1:14" x14ac:dyDescent="0.2">
      <c r="A578" s="487" t="s">
        <v>1357</v>
      </c>
      <c r="B578" s="1285">
        <v>968</v>
      </c>
      <c r="C578" s="1285">
        <v>1102</v>
      </c>
      <c r="D578" s="1285" t="s">
        <v>1471</v>
      </c>
      <c r="E578" s="166"/>
      <c r="F578" s="1279">
        <v>200</v>
      </c>
      <c r="G578" s="482"/>
      <c r="H578" s="959">
        <f>SUM(I578:L578)</f>
        <v>3557.8850000000002</v>
      </c>
      <c r="I578" s="959">
        <f>I579</f>
        <v>1040.6850000000002</v>
      </c>
      <c r="J578" s="959">
        <f>J579</f>
        <v>1618.2</v>
      </c>
      <c r="K578" s="959">
        <f>K579</f>
        <v>79.40000000000002</v>
      </c>
      <c r="L578" s="832">
        <f>L579</f>
        <v>819.6</v>
      </c>
      <c r="M578" s="1018"/>
      <c r="N578" s="1018"/>
    </row>
    <row r="579" spans="1:14" x14ac:dyDescent="0.2">
      <c r="A579" s="1278" t="s">
        <v>1118</v>
      </c>
      <c r="B579" s="1285">
        <v>968</v>
      </c>
      <c r="C579" s="1285">
        <v>1102</v>
      </c>
      <c r="D579" s="1285" t="s">
        <v>1471</v>
      </c>
      <c r="E579" s="1285"/>
      <c r="F579" s="1279">
        <v>240</v>
      </c>
      <c r="G579" s="1279"/>
      <c r="H579" s="1287">
        <f t="shared" si="109"/>
        <v>3557.8850000000002</v>
      </c>
      <c r="I579" s="1287">
        <f>I580+I583</f>
        <v>1040.6850000000002</v>
      </c>
      <c r="J579" s="1287">
        <f>J580+J583</f>
        <v>1618.2</v>
      </c>
      <c r="K579" s="1287">
        <f>K580+K583</f>
        <v>79.40000000000002</v>
      </c>
      <c r="L579" s="1286">
        <f>L580+L583</f>
        <v>819.6</v>
      </c>
      <c r="M579" s="1018"/>
      <c r="N579" s="1018"/>
    </row>
    <row r="580" spans="1:14" ht="24" hidden="1" x14ac:dyDescent="0.2">
      <c r="A580" s="1278" t="s">
        <v>1218</v>
      </c>
      <c r="B580" s="1285">
        <v>968</v>
      </c>
      <c r="C580" s="1285">
        <v>1102</v>
      </c>
      <c r="D580" s="1285" t="s">
        <v>1141</v>
      </c>
      <c r="E580" s="1285">
        <v>500</v>
      </c>
      <c r="F580" s="1279">
        <v>242</v>
      </c>
      <c r="G580" s="1279"/>
      <c r="H580" s="1287">
        <f t="shared" si="109"/>
        <v>0</v>
      </c>
      <c r="I580" s="1286">
        <f t="shared" ref="I580:L581" si="111">I581</f>
        <v>0</v>
      </c>
      <c r="J580" s="1286">
        <f t="shared" si="111"/>
        <v>0</v>
      </c>
      <c r="K580" s="1286">
        <f t="shared" si="111"/>
        <v>0</v>
      </c>
      <c r="L580" s="1286">
        <f t="shared" si="111"/>
        <v>0</v>
      </c>
      <c r="M580" s="1018"/>
      <c r="N580" s="1018"/>
    </row>
    <row r="581" spans="1:14" hidden="1" x14ac:dyDescent="0.2">
      <c r="A581" s="465" t="s">
        <v>384</v>
      </c>
      <c r="B581" s="156">
        <v>968</v>
      </c>
      <c r="C581" s="156">
        <v>1102</v>
      </c>
      <c r="D581" s="156" t="s">
        <v>1141</v>
      </c>
      <c r="E581" s="156">
        <v>500</v>
      </c>
      <c r="F581" s="479">
        <v>242</v>
      </c>
      <c r="G581" s="479">
        <v>300</v>
      </c>
      <c r="H581" s="1805">
        <f>H582</f>
        <v>0</v>
      </c>
      <c r="I581" s="1804">
        <f t="shared" si="111"/>
        <v>0</v>
      </c>
      <c r="J581" s="1804">
        <f t="shared" si="111"/>
        <v>0</v>
      </c>
      <c r="K581" s="1804">
        <f t="shared" si="111"/>
        <v>0</v>
      </c>
      <c r="L581" s="1804">
        <f t="shared" si="111"/>
        <v>0</v>
      </c>
      <c r="M581" s="1018"/>
      <c r="N581" s="1018"/>
    </row>
    <row r="582" spans="1:14" hidden="1" x14ac:dyDescent="0.2">
      <c r="A582" s="467" t="s">
        <v>279</v>
      </c>
      <c r="B582" s="474">
        <v>968</v>
      </c>
      <c r="C582" s="740">
        <v>1102</v>
      </c>
      <c r="D582" s="740" t="s">
        <v>1141</v>
      </c>
      <c r="E582" s="740">
        <v>500</v>
      </c>
      <c r="F582" s="741">
        <v>242</v>
      </c>
      <c r="G582" s="741">
        <v>310</v>
      </c>
      <c r="H582" s="2656">
        <f>SUM(I582:L582)</f>
        <v>0</v>
      </c>
      <c r="I582" s="2656">
        <v>0</v>
      </c>
      <c r="J582" s="1805">
        <f>220-220</f>
        <v>0</v>
      </c>
      <c r="K582" s="1804">
        <v>0</v>
      </c>
      <c r="L582" s="1804">
        <v>0</v>
      </c>
      <c r="M582" s="1018"/>
      <c r="N582" s="1018"/>
    </row>
    <row r="583" spans="1:14" x14ac:dyDescent="0.2">
      <c r="A583" s="1278" t="s">
        <v>1201</v>
      </c>
      <c r="B583" s="1285">
        <v>968</v>
      </c>
      <c r="C583" s="1285">
        <v>1102</v>
      </c>
      <c r="D583" s="1285" t="s">
        <v>1471</v>
      </c>
      <c r="E583" s="1285">
        <v>500</v>
      </c>
      <c r="F583" s="1279">
        <v>244</v>
      </c>
      <c r="G583" s="1279"/>
      <c r="H583" s="1287">
        <f>H584+H587</f>
        <v>3557.8850000000002</v>
      </c>
      <c r="I583" s="1286">
        <f>I584+I587</f>
        <v>1040.6850000000002</v>
      </c>
      <c r="J583" s="1286">
        <f>J584+J587</f>
        <v>1618.2</v>
      </c>
      <c r="K583" s="1286">
        <f>K584+K587</f>
        <v>79.40000000000002</v>
      </c>
      <c r="L583" s="1286">
        <f>L584+L587</f>
        <v>819.6</v>
      </c>
      <c r="M583" s="1018"/>
      <c r="N583" s="1018"/>
    </row>
    <row r="584" spans="1:14" x14ac:dyDescent="0.2">
      <c r="A584" s="465" t="s">
        <v>380</v>
      </c>
      <c r="B584" s="156">
        <v>968</v>
      </c>
      <c r="C584" s="156">
        <v>1102</v>
      </c>
      <c r="D584" s="156" t="s">
        <v>1471</v>
      </c>
      <c r="E584" s="156">
        <v>500</v>
      </c>
      <c r="F584" s="479">
        <v>244</v>
      </c>
      <c r="G584" s="479">
        <v>200</v>
      </c>
      <c r="H584" s="1805">
        <f>H585+H586</f>
        <v>3557.8850000000002</v>
      </c>
      <c r="I584" s="1804">
        <f>I585+I586</f>
        <v>1040.6850000000002</v>
      </c>
      <c r="J584" s="1804">
        <f>J585+J586</f>
        <v>1618.2</v>
      </c>
      <c r="K584" s="1804">
        <f>K585+K586</f>
        <v>79.40000000000002</v>
      </c>
      <c r="L584" s="1804">
        <f>L585+L586</f>
        <v>819.6</v>
      </c>
      <c r="M584" s="1018"/>
      <c r="N584" s="1018"/>
    </row>
    <row r="585" spans="1:14" x14ac:dyDescent="0.2">
      <c r="A585" s="739" t="s">
        <v>383</v>
      </c>
      <c r="B585" s="740">
        <v>968</v>
      </c>
      <c r="C585" s="740">
        <v>1102</v>
      </c>
      <c r="D585" s="740" t="s">
        <v>1471</v>
      </c>
      <c r="E585" s="740">
        <v>500</v>
      </c>
      <c r="F585" s="741">
        <v>244</v>
      </c>
      <c r="G585" s="741">
        <v>226</v>
      </c>
      <c r="H585" s="2588">
        <f>SUM(I585:L585)</f>
        <v>2804.8850000000002</v>
      </c>
      <c r="I585" s="2588">
        <f>1299.7-21.3-312.715</f>
        <v>965.68500000000017</v>
      </c>
      <c r="J585" s="2587">
        <f>1443.3-323-7.1</f>
        <v>1113.2</v>
      </c>
      <c r="K585" s="2587">
        <f>380.1-300-0.7</f>
        <v>79.40000000000002</v>
      </c>
      <c r="L585" s="2587">
        <v>646.6</v>
      </c>
      <c r="M585" s="1018"/>
      <c r="N585" s="1018"/>
    </row>
    <row r="586" spans="1:14" ht="13.5" thickBot="1" x14ac:dyDescent="0.25">
      <c r="A586" s="467" t="s">
        <v>278</v>
      </c>
      <c r="B586" s="474">
        <v>968</v>
      </c>
      <c r="C586" s="474">
        <v>1102</v>
      </c>
      <c r="D586" s="474" t="s">
        <v>1471</v>
      </c>
      <c r="E586" s="474">
        <v>500</v>
      </c>
      <c r="F586" s="480">
        <v>244</v>
      </c>
      <c r="G586" s="480">
        <v>290</v>
      </c>
      <c r="H586" s="2656">
        <f>SUM(I586:L586)</f>
        <v>753</v>
      </c>
      <c r="I586" s="2656">
        <v>75</v>
      </c>
      <c r="J586" s="2657">
        <f>75+430</f>
        <v>505</v>
      </c>
      <c r="K586" s="2657">
        <v>0</v>
      </c>
      <c r="L586" s="2657">
        <v>173</v>
      </c>
      <c r="M586" s="1018"/>
      <c r="N586" s="1018"/>
    </row>
    <row r="587" spans="1:14" ht="13.5" hidden="1" thickBot="1" x14ac:dyDescent="0.25">
      <c r="A587" s="465" t="s">
        <v>384</v>
      </c>
      <c r="B587" s="156">
        <v>968</v>
      </c>
      <c r="C587" s="156">
        <v>1102</v>
      </c>
      <c r="D587" s="156" t="s">
        <v>1141</v>
      </c>
      <c r="E587" s="156">
        <v>500</v>
      </c>
      <c r="F587" s="479">
        <v>244</v>
      </c>
      <c r="G587" s="479">
        <v>300</v>
      </c>
      <c r="H587" s="2608">
        <f>H588</f>
        <v>0</v>
      </c>
      <c r="I587" s="2607">
        <f>I588</f>
        <v>0</v>
      </c>
      <c r="J587" s="2607">
        <f>J588</f>
        <v>0</v>
      </c>
      <c r="K587" s="2607">
        <f>K588</f>
        <v>0</v>
      </c>
      <c r="L587" s="2607">
        <f>L588</f>
        <v>0</v>
      </c>
      <c r="M587" s="1018"/>
      <c r="N587" s="1018"/>
    </row>
    <row r="588" spans="1:14" ht="13.5" hidden="1" thickBot="1" x14ac:dyDescent="0.25">
      <c r="A588" s="467" t="s">
        <v>279</v>
      </c>
      <c r="B588" s="474">
        <v>968</v>
      </c>
      <c r="C588" s="740">
        <v>1102</v>
      </c>
      <c r="D588" s="740" t="s">
        <v>1141</v>
      </c>
      <c r="E588" s="740">
        <v>500</v>
      </c>
      <c r="F588" s="741">
        <v>244</v>
      </c>
      <c r="G588" s="741">
        <v>310</v>
      </c>
      <c r="H588" s="2606">
        <f t="shared" ref="H588:H593" si="112">SUM(I588:L588)</f>
        <v>0</v>
      </c>
      <c r="I588" s="2606">
        <v>0</v>
      </c>
      <c r="J588" s="2608">
        <v>0</v>
      </c>
      <c r="K588" s="2607">
        <v>0</v>
      </c>
      <c r="L588" s="2607">
        <v>0</v>
      </c>
      <c r="M588" s="1018"/>
      <c r="N588" s="1018"/>
    </row>
    <row r="589" spans="1:14" ht="15.75" thickBot="1" x14ac:dyDescent="0.25">
      <c r="A589" s="747" t="s">
        <v>1020</v>
      </c>
      <c r="B589" s="748">
        <v>968</v>
      </c>
      <c r="C589" s="748">
        <v>1200</v>
      </c>
      <c r="D589" s="748"/>
      <c r="E589" s="748"/>
      <c r="F589" s="749"/>
      <c r="G589" s="749"/>
      <c r="H589" s="2654">
        <f t="shared" si="112"/>
        <v>1800</v>
      </c>
      <c r="I589" s="2654">
        <f>I590</f>
        <v>594.5</v>
      </c>
      <c r="J589" s="2655">
        <f>J590</f>
        <v>465.5</v>
      </c>
      <c r="K589" s="2655">
        <f>K590</f>
        <v>346.5</v>
      </c>
      <c r="L589" s="2655">
        <f>L590</f>
        <v>393.5</v>
      </c>
      <c r="M589" s="1018"/>
      <c r="N589" s="1018"/>
    </row>
    <row r="590" spans="1:14" ht="15" x14ac:dyDescent="0.2">
      <c r="A590" s="488" t="s">
        <v>773</v>
      </c>
      <c r="B590" s="473">
        <v>968</v>
      </c>
      <c r="C590" s="473">
        <v>1202</v>
      </c>
      <c r="D590" s="473"/>
      <c r="E590" s="473"/>
      <c r="F590" s="478"/>
      <c r="G590" s="478"/>
      <c r="H590" s="2683">
        <f t="shared" si="112"/>
        <v>1800</v>
      </c>
      <c r="I590" s="2683">
        <f t="shared" ref="H590:L594" si="113">I591</f>
        <v>594.5</v>
      </c>
      <c r="J590" s="2684">
        <f t="shared" si="113"/>
        <v>465.5</v>
      </c>
      <c r="K590" s="2684">
        <f t="shared" si="113"/>
        <v>346.5</v>
      </c>
      <c r="L590" s="2684">
        <f t="shared" si="113"/>
        <v>393.5</v>
      </c>
      <c r="M590" s="1018"/>
      <c r="N590" s="1018"/>
    </row>
    <row r="591" spans="1:14" ht="15.75" customHeight="1" x14ac:dyDescent="0.2">
      <c r="A591" s="487" t="s">
        <v>1162</v>
      </c>
      <c r="B591" s="166">
        <v>968</v>
      </c>
      <c r="C591" s="166">
        <v>1202</v>
      </c>
      <c r="D591" s="166" t="s">
        <v>777</v>
      </c>
      <c r="E591" s="166"/>
      <c r="F591" s="482"/>
      <c r="G591" s="482"/>
      <c r="H591" s="959">
        <f t="shared" si="112"/>
        <v>1800</v>
      </c>
      <c r="I591" s="959">
        <f>I592</f>
        <v>594.5</v>
      </c>
      <c r="J591" s="959">
        <f t="shared" si="113"/>
        <v>465.5</v>
      </c>
      <c r="K591" s="959">
        <f t="shared" si="113"/>
        <v>346.5</v>
      </c>
      <c r="L591" s="832">
        <f t="shared" si="113"/>
        <v>393.5</v>
      </c>
      <c r="M591" s="1018"/>
      <c r="N591" s="1018"/>
    </row>
    <row r="592" spans="1:14" x14ac:dyDescent="0.2">
      <c r="A592" s="487" t="s">
        <v>1357</v>
      </c>
      <c r="B592" s="1285">
        <v>968</v>
      </c>
      <c r="C592" s="1285">
        <v>1202</v>
      </c>
      <c r="D592" s="1285" t="s">
        <v>777</v>
      </c>
      <c r="E592" s="1285">
        <v>500</v>
      </c>
      <c r="F592" s="1279">
        <v>200</v>
      </c>
      <c r="G592" s="482"/>
      <c r="H592" s="959">
        <f t="shared" si="112"/>
        <v>1800</v>
      </c>
      <c r="I592" s="959">
        <f>I593</f>
        <v>594.5</v>
      </c>
      <c r="J592" s="959">
        <f>J593</f>
        <v>465.5</v>
      </c>
      <c r="K592" s="959">
        <f>K593</f>
        <v>346.5</v>
      </c>
      <c r="L592" s="832">
        <f>L593</f>
        <v>393.5</v>
      </c>
      <c r="M592" s="1018"/>
      <c r="N592" s="1018"/>
    </row>
    <row r="593" spans="1:14" x14ac:dyDescent="0.2">
      <c r="A593" s="1278" t="s">
        <v>1201</v>
      </c>
      <c r="B593" s="1285">
        <v>968</v>
      </c>
      <c r="C593" s="1285">
        <v>1202</v>
      </c>
      <c r="D593" s="1285" t="s">
        <v>777</v>
      </c>
      <c r="E593" s="1285">
        <v>500</v>
      </c>
      <c r="F593" s="1279">
        <v>244</v>
      </c>
      <c r="G593" s="1279"/>
      <c r="H593" s="1287">
        <f t="shared" si="112"/>
        <v>1800</v>
      </c>
      <c r="I593" s="1287">
        <f>I594+I596</f>
        <v>594.5</v>
      </c>
      <c r="J593" s="1287">
        <f>J594+J596</f>
        <v>465.5</v>
      </c>
      <c r="K593" s="1287">
        <f>K594+K596</f>
        <v>346.5</v>
      </c>
      <c r="L593" s="1286">
        <f>L594+L596</f>
        <v>393.5</v>
      </c>
      <c r="M593" s="1018"/>
      <c r="N593" s="1018"/>
    </row>
    <row r="594" spans="1:14" ht="13.5" thickBot="1" x14ac:dyDescent="0.25">
      <c r="A594" s="465" t="s">
        <v>380</v>
      </c>
      <c r="B594" s="156">
        <v>968</v>
      </c>
      <c r="C594" s="156">
        <v>1202</v>
      </c>
      <c r="D594" s="156" t="s">
        <v>777</v>
      </c>
      <c r="E594" s="156">
        <v>500</v>
      </c>
      <c r="F594" s="479">
        <v>244</v>
      </c>
      <c r="G594" s="479">
        <v>200</v>
      </c>
      <c r="H594" s="1805">
        <f t="shared" si="113"/>
        <v>1800</v>
      </c>
      <c r="I594" s="1805">
        <f t="shared" si="113"/>
        <v>594.5</v>
      </c>
      <c r="J594" s="1804">
        <f t="shared" si="113"/>
        <v>465.5</v>
      </c>
      <c r="K594" s="1804">
        <f t="shared" si="113"/>
        <v>346.5</v>
      </c>
      <c r="L594" s="2685">
        <f t="shared" si="113"/>
        <v>393.5</v>
      </c>
      <c r="M594" s="1018"/>
      <c r="N594" s="1018"/>
    </row>
    <row r="595" spans="1:14" ht="13.5" thickBot="1" x14ac:dyDescent="0.25">
      <c r="A595" s="1036" t="s">
        <v>383</v>
      </c>
      <c r="B595" s="1037">
        <v>968</v>
      </c>
      <c r="C595" s="1037">
        <v>1202</v>
      </c>
      <c r="D595" s="1037" t="s">
        <v>777</v>
      </c>
      <c r="E595" s="1037">
        <v>500</v>
      </c>
      <c r="F595" s="1038">
        <v>244</v>
      </c>
      <c r="G595" s="1038">
        <v>226</v>
      </c>
      <c r="H595" s="2648">
        <f>SUM(I595:L595)</f>
        <v>1800</v>
      </c>
      <c r="I595" s="2648">
        <f>791.5-197</f>
        <v>594.5</v>
      </c>
      <c r="J595" s="2653">
        <f>465.5+197-197</f>
        <v>465.5</v>
      </c>
      <c r="K595" s="2653">
        <f>149.5+197</f>
        <v>346.5</v>
      </c>
      <c r="L595" s="2686">
        <v>393.5</v>
      </c>
      <c r="M595" s="1018"/>
      <c r="N595" s="1018"/>
    </row>
    <row r="596" spans="1:14" hidden="1" x14ac:dyDescent="0.2">
      <c r="A596" s="2234" t="s">
        <v>384</v>
      </c>
      <c r="B596" s="2233">
        <v>968</v>
      </c>
      <c r="C596" s="2233">
        <v>1202</v>
      </c>
      <c r="D596" s="2233" t="s">
        <v>777</v>
      </c>
      <c r="E596" s="2233">
        <v>500</v>
      </c>
      <c r="F596" s="2235">
        <v>244</v>
      </c>
      <c r="G596" s="2235">
        <v>300</v>
      </c>
      <c r="H596" s="2236">
        <f>SUM(I596:L596)</f>
        <v>0</v>
      </c>
      <c r="I596" s="2237">
        <f>I597</f>
        <v>0</v>
      </c>
      <c r="J596" s="2237">
        <f>J597</f>
        <v>0</v>
      </c>
      <c r="K596" s="2237">
        <f>K597</f>
        <v>0</v>
      </c>
      <c r="L596" s="2238">
        <f>L597</f>
        <v>0</v>
      </c>
      <c r="M596" s="1018"/>
      <c r="N596" s="1018"/>
    </row>
    <row r="597" spans="1:14" ht="13.5" hidden="1" thickBot="1" x14ac:dyDescent="0.25">
      <c r="A597" s="468" t="s">
        <v>280</v>
      </c>
      <c r="B597" s="740">
        <v>968</v>
      </c>
      <c r="C597" s="740">
        <v>1202</v>
      </c>
      <c r="D597" s="740" t="s">
        <v>777</v>
      </c>
      <c r="E597" s="740">
        <v>500</v>
      </c>
      <c r="F597" s="741">
        <v>244</v>
      </c>
      <c r="G597" s="481">
        <v>340</v>
      </c>
      <c r="H597" s="1808">
        <f>SUM(I597:L597)</f>
        <v>0</v>
      </c>
      <c r="I597" s="1809">
        <v>0</v>
      </c>
      <c r="J597" s="1809">
        <v>0</v>
      </c>
      <c r="K597" s="1809">
        <v>0</v>
      </c>
      <c r="L597" s="1810">
        <v>0</v>
      </c>
      <c r="M597" s="1018"/>
      <c r="N597" s="1018"/>
    </row>
    <row r="598" spans="1:14" ht="16.5" thickBot="1" x14ac:dyDescent="0.3">
      <c r="A598" s="864" t="s">
        <v>348</v>
      </c>
      <c r="B598" s="760"/>
      <c r="C598" s="760"/>
      <c r="D598" s="760"/>
      <c r="E598" s="760"/>
      <c r="F598" s="761"/>
      <c r="G598" s="987"/>
      <c r="H598" s="772">
        <f>SUM(I598:L598)</f>
        <v>120280.2</v>
      </c>
      <c r="I598" s="772">
        <f>I148</f>
        <v>16697.756000000001</v>
      </c>
      <c r="J598" s="772">
        <f>J148</f>
        <v>21327.610999999997</v>
      </c>
      <c r="K598" s="772">
        <f>K148</f>
        <v>67170.599999999991</v>
      </c>
      <c r="L598" s="772">
        <f>L148</f>
        <v>15084.233000000002</v>
      </c>
      <c r="M598" s="1018"/>
      <c r="N598" s="1018"/>
    </row>
    <row r="599" spans="1:14" x14ac:dyDescent="0.2">
      <c r="A599" t="s">
        <v>388</v>
      </c>
      <c r="I599" s="2978" t="s">
        <v>1465</v>
      </c>
      <c r="J599" s="2978"/>
      <c r="K599" s="2978"/>
      <c r="M599" s="1018"/>
    </row>
    <row r="600" spans="1:14" ht="13.5" thickBot="1" x14ac:dyDescent="0.25">
      <c r="A600" s="3041" t="s">
        <v>389</v>
      </c>
      <c r="B600" s="3041"/>
      <c r="I600" s="2978" t="s">
        <v>1430</v>
      </c>
      <c r="J600" s="2978"/>
      <c r="K600" s="2978"/>
      <c r="M600" s="1018"/>
    </row>
    <row r="601" spans="1:14" ht="16.5" thickBot="1" x14ac:dyDescent="0.3">
      <c r="A601" s="864" t="s">
        <v>592</v>
      </c>
      <c r="B601" s="3042"/>
      <c r="C601" s="3043"/>
      <c r="D601" s="863"/>
      <c r="E601" s="3042"/>
      <c r="F601" s="3044"/>
      <c r="G601" s="3045"/>
      <c r="H601" s="988">
        <f>H598+H109+H30</f>
        <v>124659</v>
      </c>
      <c r="I601" s="988">
        <f>I598+I109+I30</f>
        <v>17891.748</v>
      </c>
      <c r="J601" s="988">
        <f>J598+J109+J30</f>
        <v>22137.160999999996</v>
      </c>
      <c r="K601" s="988">
        <f>K598+K109+K30</f>
        <v>68772.840999999986</v>
      </c>
      <c r="L601" s="988">
        <f>L598+L109+L30</f>
        <v>15857.250000000002</v>
      </c>
      <c r="M601" s="1018"/>
    </row>
    <row r="603" spans="1:14" x14ac:dyDescent="0.2">
      <c r="I603" s="2978"/>
      <c r="J603" s="2978"/>
      <c r="K603" s="2978"/>
    </row>
    <row r="605" spans="1:14" x14ac:dyDescent="0.2">
      <c r="A605" s="3041"/>
      <c r="B605" s="3041"/>
      <c r="I605" s="2978"/>
      <c r="J605" s="2978"/>
      <c r="K605" s="2978"/>
    </row>
  </sheetData>
  <mergeCells count="68">
    <mergeCell ref="D1:L1"/>
    <mergeCell ref="D2:L2"/>
    <mergeCell ref="D132:L132"/>
    <mergeCell ref="D131:L131"/>
    <mergeCell ref="D114:L114"/>
    <mergeCell ref="D116:L116"/>
    <mergeCell ref="D118:L118"/>
    <mergeCell ref="A3:L3"/>
    <mergeCell ref="A4:L4"/>
    <mergeCell ref="I32:K32"/>
    <mergeCell ref="A33:B33"/>
    <mergeCell ref="I33:K33"/>
    <mergeCell ref="D121:L121"/>
    <mergeCell ref="D119:L119"/>
    <mergeCell ref="D37:L37"/>
    <mergeCell ref="D40:L40"/>
    <mergeCell ref="A49:L49"/>
    <mergeCell ref="D52:L52"/>
    <mergeCell ref="A111:B111"/>
    <mergeCell ref="D45:L45"/>
    <mergeCell ref="I111:K111"/>
    <mergeCell ref="I110:K110"/>
    <mergeCell ref="D123:L123"/>
    <mergeCell ref="D124:L124"/>
    <mergeCell ref="D34:L34"/>
    <mergeCell ref="D35:L35"/>
    <mergeCell ref="A48:L48"/>
    <mergeCell ref="D117:L117"/>
    <mergeCell ref="D115:L115"/>
    <mergeCell ref="D51:L51"/>
    <mergeCell ref="A54:L54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D130:L130"/>
    <mergeCell ref="D36:L36"/>
    <mergeCell ref="I600:K600"/>
    <mergeCell ref="A133:L133"/>
    <mergeCell ref="D120:L120"/>
    <mergeCell ref="D122:L122"/>
    <mergeCell ref="A134:L134"/>
    <mergeCell ref="D143:L143"/>
    <mergeCell ref="A145:L145"/>
    <mergeCell ref="D139:L139"/>
    <mergeCell ref="A605:B605"/>
    <mergeCell ref="I603:K603"/>
    <mergeCell ref="I605:K605"/>
    <mergeCell ref="B601:C601"/>
    <mergeCell ref="E601:G601"/>
    <mergeCell ref="D140:L140"/>
    <mergeCell ref="D144:L144"/>
    <mergeCell ref="A600:B600"/>
    <mergeCell ref="D125:L125"/>
    <mergeCell ref="D141:L141"/>
    <mergeCell ref="I599:K599"/>
    <mergeCell ref="D142:L142"/>
    <mergeCell ref="D136:L136"/>
    <mergeCell ref="D138:L138"/>
    <mergeCell ref="D137:L137"/>
    <mergeCell ref="D135:L135"/>
    <mergeCell ref="D128:L128"/>
    <mergeCell ref="D129:L129"/>
  </mergeCells>
  <phoneticPr fontId="11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opLeftCell="C6" zoomScale="84" zoomScaleNormal="84" workbookViewId="0">
      <selection activeCell="C6" sqref="C6:H6"/>
    </sheetView>
  </sheetViews>
  <sheetFormatPr defaultRowHeight="12.75" x14ac:dyDescent="0.2"/>
  <cols>
    <col min="1" max="1" width="5.28515625" customWidth="1"/>
    <col min="2" max="2" width="23" customWidth="1"/>
    <col min="3" max="3" width="53.42578125" customWidth="1"/>
    <col min="4" max="4" width="11.42578125" customWidth="1"/>
    <col min="5" max="5" width="11.5703125" customWidth="1"/>
    <col min="6" max="6" width="11.140625" customWidth="1"/>
    <col min="7" max="7" width="10.28515625" customWidth="1"/>
    <col min="8" max="8" width="10.7109375" customWidth="1"/>
    <col min="9" max="9" width="10.5703125" bestFit="1" customWidth="1"/>
  </cols>
  <sheetData>
    <row r="1" spans="1:8" x14ac:dyDescent="0.2">
      <c r="C1" s="2979" t="s">
        <v>205</v>
      </c>
      <c r="D1" s="2979"/>
      <c r="E1" s="2979"/>
      <c r="F1" s="2979"/>
      <c r="G1" s="2979"/>
      <c r="H1" s="2979"/>
    </row>
    <row r="2" spans="1:8" x14ac:dyDescent="0.2">
      <c r="C2" s="3050" t="str">
        <f>Бюд.р.!D115</f>
        <v>№ 02-03-01 от 12.01.2015</v>
      </c>
      <c r="D2" s="2979"/>
      <c r="E2" s="2979"/>
      <c r="F2" s="2979"/>
      <c r="G2" s="2979"/>
      <c r="H2" s="2979"/>
    </row>
    <row r="3" spans="1:8" x14ac:dyDescent="0.2">
      <c r="C3" s="3050" t="str">
        <f>Бюд.р.!D116</f>
        <v>№ 02-03-02 от 14.01.2015</v>
      </c>
      <c r="D3" s="2979"/>
      <c r="E3" s="2979"/>
      <c r="F3" s="2979"/>
      <c r="G3" s="2979"/>
      <c r="H3" s="2979"/>
    </row>
    <row r="4" spans="1:8" hidden="1" x14ac:dyDescent="0.2">
      <c r="C4" s="3050" t="str">
        <f>Бюд.р.!D117</f>
        <v>№ 02-03-03 от 30.01.2015</v>
      </c>
      <c r="D4" s="2979"/>
      <c r="E4" s="2979"/>
      <c r="F4" s="2979"/>
      <c r="G4" s="2979"/>
      <c r="H4" s="2979"/>
    </row>
    <row r="5" spans="1:8" x14ac:dyDescent="0.2">
      <c r="C5" s="3050" t="str">
        <f>Бюд.р.!D118</f>
        <v>№ 02-03-04 от 18.02.2015</v>
      </c>
      <c r="D5" s="3050"/>
      <c r="E5" s="3050"/>
      <c r="F5" s="3050"/>
      <c r="G5" s="3050"/>
      <c r="H5" s="3050"/>
    </row>
    <row r="6" spans="1:8" x14ac:dyDescent="0.2">
      <c r="C6" s="3051" t="str">
        <f>Бюд.р.!D119</f>
        <v>№ 02-03-05 от 24.02.2015</v>
      </c>
      <c r="D6" s="3051"/>
      <c r="E6" s="3051"/>
      <c r="F6" s="3051"/>
      <c r="G6" s="3051"/>
      <c r="H6" s="3051"/>
    </row>
    <row r="7" spans="1:8" x14ac:dyDescent="0.2">
      <c r="C7" s="3051" t="str">
        <f>Бюд.р.!D120</f>
        <v>№ 02-03-06 от 10.03.2015</v>
      </c>
      <c r="D7" s="3051"/>
      <c r="E7" s="3051"/>
      <c r="F7" s="3051"/>
      <c r="G7" s="3051"/>
      <c r="H7" s="3051"/>
    </row>
    <row r="8" spans="1:8" x14ac:dyDescent="0.2">
      <c r="C8" s="3051" t="str">
        <f>Бюд.р.!D121</f>
        <v>№ 02-03-07 от 25.03.2015</v>
      </c>
      <c r="D8" s="3051"/>
      <c r="E8" s="3051"/>
      <c r="F8" s="3051"/>
      <c r="G8" s="3051"/>
      <c r="H8" s="3051"/>
    </row>
    <row r="9" spans="1:8" x14ac:dyDescent="0.2">
      <c r="C9" s="3051" t="str">
        <f>Бюд.р.!D122</f>
        <v>№ 02-03-08 от 21.04.2015</v>
      </c>
      <c r="D9" s="3051"/>
      <c r="E9" s="3051"/>
      <c r="F9" s="3051"/>
      <c r="G9" s="3051"/>
      <c r="H9" s="3051"/>
    </row>
    <row r="10" spans="1:8" x14ac:dyDescent="0.2">
      <c r="C10" s="3051" t="str">
        <f>Бюд.р.!D123</f>
        <v>№ 02-03-09 от 29.04.2015</v>
      </c>
      <c r="D10" s="3051"/>
      <c r="E10" s="3051"/>
      <c r="F10" s="3051"/>
      <c r="G10" s="3051"/>
      <c r="H10" s="3051"/>
    </row>
    <row r="11" spans="1:8" x14ac:dyDescent="0.2">
      <c r="C11" s="3051" t="str">
        <f>Бюд.р.!D124</f>
        <v>№ 02-03-10 от 21.05.2015</v>
      </c>
      <c r="D11" s="3051"/>
      <c r="E11" s="3051"/>
      <c r="F11" s="3051"/>
      <c r="G11" s="3051"/>
      <c r="H11" s="3051"/>
    </row>
    <row r="12" spans="1:8" x14ac:dyDescent="0.2">
      <c r="C12" s="3051" t="str">
        <f>Бюд.р.!D125</f>
        <v>№ 02-03-11 от 24.06.2015</v>
      </c>
      <c r="D12" s="3051"/>
      <c r="E12" s="3051"/>
      <c r="F12" s="3051"/>
      <c r="G12" s="3051"/>
      <c r="H12" s="3051"/>
    </row>
    <row r="13" spans="1:8" ht="15.75" x14ac:dyDescent="0.25">
      <c r="A13" s="3004" t="s">
        <v>204</v>
      </c>
      <c r="B13" s="3004"/>
      <c r="C13" s="3004"/>
      <c r="D13" s="3004"/>
      <c r="E13" s="3004"/>
      <c r="F13" s="3004"/>
      <c r="G13" s="3004"/>
      <c r="H13" s="3004"/>
    </row>
    <row r="14" spans="1:8" ht="15.75" x14ac:dyDescent="0.25">
      <c r="A14" s="3004" t="s">
        <v>203</v>
      </c>
      <c r="B14" s="3004"/>
      <c r="C14" s="3004"/>
      <c r="D14" s="3004"/>
      <c r="E14" s="3004"/>
      <c r="F14" s="3004"/>
      <c r="G14" s="3004"/>
      <c r="H14" s="3004"/>
    </row>
    <row r="15" spans="1:8" ht="15.75" x14ac:dyDescent="0.25">
      <c r="A15" s="3004" t="s">
        <v>458</v>
      </c>
      <c r="B15" s="3004"/>
      <c r="C15" s="3004"/>
      <c r="D15" s="3004"/>
      <c r="E15" s="3004"/>
      <c r="F15" s="3004"/>
      <c r="G15" s="3004"/>
      <c r="H15" s="3004"/>
    </row>
    <row r="16" spans="1:8" ht="15" customHeight="1" thickBot="1" x14ac:dyDescent="0.3">
      <c r="A16" s="3060" t="s">
        <v>1459</v>
      </c>
      <c r="B16" s="3060"/>
      <c r="C16" s="3060"/>
      <c r="D16" s="3060"/>
      <c r="E16" s="3060"/>
      <c r="F16" s="3060"/>
      <c r="G16" s="3060"/>
      <c r="H16" s="3060"/>
    </row>
    <row r="17" spans="1:8" ht="15.75" x14ac:dyDescent="0.2">
      <c r="A17" s="3058" t="s">
        <v>321</v>
      </c>
      <c r="B17" s="3059"/>
      <c r="C17" s="3053" t="s">
        <v>320</v>
      </c>
      <c r="D17" s="93" t="s">
        <v>322</v>
      </c>
      <c r="E17" s="3056" t="s">
        <v>499</v>
      </c>
      <c r="F17" s="3001" t="s">
        <v>500</v>
      </c>
      <c r="G17" s="3001" t="s">
        <v>501</v>
      </c>
      <c r="H17" s="3007" t="s">
        <v>502</v>
      </c>
    </row>
    <row r="18" spans="1:8" ht="36.75" customHeight="1" thickBot="1" x14ac:dyDescent="0.25">
      <c r="A18" s="95" t="s">
        <v>184</v>
      </c>
      <c r="B18" s="96" t="s">
        <v>728</v>
      </c>
      <c r="C18" s="3054"/>
      <c r="D18" s="94" t="s">
        <v>323</v>
      </c>
      <c r="E18" s="3057"/>
      <c r="F18" s="3052"/>
      <c r="G18" s="3052"/>
      <c r="H18" s="3055"/>
    </row>
    <row r="19" spans="1:8" ht="33" customHeight="1" thickBot="1" x14ac:dyDescent="0.25">
      <c r="A19" s="66" t="s">
        <v>182</v>
      </c>
      <c r="B19" s="67" t="s">
        <v>181</v>
      </c>
      <c r="C19" s="63" t="s">
        <v>427</v>
      </c>
      <c r="D19" s="525">
        <f>D21+D37+D40+D44+D51+D57+D63+D79+D85</f>
        <v>101711.7</v>
      </c>
      <c r="E19" s="735">
        <f>E21+E37+E40+E44+E51+E57+E63+E79+E85</f>
        <v>16786</v>
      </c>
      <c r="F19" s="526">
        <f>F21+F37+F40+F44+F51+F57+F63+F79+F85</f>
        <v>24626.799999999999</v>
      </c>
      <c r="G19" s="526">
        <f>G21+G37+G40+G44+G51+G57+G63+G79+G85</f>
        <v>32897</v>
      </c>
      <c r="H19" s="526">
        <f>H21+H37+H40+H44+H51+H57+H63+H79+H85</f>
        <v>27401.9</v>
      </c>
    </row>
    <row r="20" spans="1:8" ht="19.5" customHeight="1" thickBot="1" x14ac:dyDescent="0.25">
      <c r="A20" s="280"/>
      <c r="B20" s="281"/>
      <c r="C20" s="282" t="s">
        <v>533</v>
      </c>
      <c r="D20" s="1188"/>
      <c r="E20" s="736"/>
      <c r="F20" s="527"/>
      <c r="G20" s="527"/>
      <c r="H20" s="528"/>
    </row>
    <row r="21" spans="1:8" ht="15" customHeight="1" thickBot="1" x14ac:dyDescent="0.25">
      <c r="A21" s="37" t="s">
        <v>184</v>
      </c>
      <c r="B21" s="68" t="s">
        <v>183</v>
      </c>
      <c r="C21" s="141" t="s">
        <v>324</v>
      </c>
      <c r="D21" s="529">
        <f>SUM(E21:H21)</f>
        <v>59675</v>
      </c>
      <c r="E21" s="737">
        <f>E22+E32+E35</f>
        <v>14171</v>
      </c>
      <c r="F21" s="737">
        <f>F22+F32+F35</f>
        <v>16367</v>
      </c>
      <c r="G21" s="737">
        <f>G22+G32+G35</f>
        <v>15568</v>
      </c>
      <c r="H21" s="737">
        <f>H22+H32+H35</f>
        <v>13569</v>
      </c>
    </row>
    <row r="22" spans="1:8" ht="28.5" customHeight="1" x14ac:dyDescent="0.2">
      <c r="A22" s="1959" t="s">
        <v>184</v>
      </c>
      <c r="B22" s="1960" t="s">
        <v>733</v>
      </c>
      <c r="C22" s="1961" t="s">
        <v>375</v>
      </c>
      <c r="D22" s="1962">
        <f>D24+D27+D30</f>
        <v>25945</v>
      </c>
      <c r="E22" s="1963">
        <f>E24+E27+E30</f>
        <v>6225</v>
      </c>
      <c r="F22" s="1964">
        <f>F24+F27+F30</f>
        <v>7881</v>
      </c>
      <c r="G22" s="1964">
        <f>G24+G27+G30</f>
        <v>6226</v>
      </c>
      <c r="H22" s="1965">
        <f>H24+H27+H30</f>
        <v>5613</v>
      </c>
    </row>
    <row r="23" spans="1:8" ht="24" hidden="1" customHeight="1" thickBot="1" x14ac:dyDescent="0.25">
      <c r="A23" s="102"/>
      <c r="B23" s="641"/>
      <c r="C23" s="78" t="s">
        <v>361</v>
      </c>
      <c r="D23" s="1189" t="e">
        <f>SUM(E23:H23)</f>
        <v>#REF!</v>
      </c>
      <c r="E23" s="1206" t="e">
        <f>E24+E27+E32+E39+E42+E55+E64+#REF!+E73+E78</f>
        <v>#REF!</v>
      </c>
      <c r="F23" s="509" t="e">
        <f>F24+F27+F32+F39+F42+F55+F64+#REF!+F73+F78</f>
        <v>#REF!</v>
      </c>
      <c r="G23" s="509" t="e">
        <f>G24+G27+G32+G39+G42+G55+G64+#REF!+G73+G78</f>
        <v>#REF!</v>
      </c>
      <c r="H23" s="510" t="e">
        <f>H24+H27+H32+H39+H42+H55+H64+#REF!+H73+H78</f>
        <v>#REF!</v>
      </c>
    </row>
    <row r="24" spans="1:8" ht="30.75" customHeight="1" x14ac:dyDescent="0.2">
      <c r="A24" s="302" t="s">
        <v>185</v>
      </c>
      <c r="B24" s="951" t="s">
        <v>186</v>
      </c>
      <c r="C24" s="1168" t="s">
        <v>391</v>
      </c>
      <c r="D24" s="1190">
        <f>SUM(D25:D26)</f>
        <v>19140</v>
      </c>
      <c r="E24" s="1207">
        <f>SUM(E25:E26)</f>
        <v>4354</v>
      </c>
      <c r="F24" s="1187">
        <f>SUM(F25:F26)</f>
        <v>5398</v>
      </c>
      <c r="G24" s="1187">
        <f>SUM(G25:G26)</f>
        <v>5050</v>
      </c>
      <c r="H24" s="1208">
        <f>SUM(H25:H26)</f>
        <v>4338</v>
      </c>
    </row>
    <row r="25" spans="1:8" ht="30.75" customHeight="1" x14ac:dyDescent="0.2">
      <c r="A25" s="299" t="s">
        <v>185</v>
      </c>
      <c r="B25" s="570" t="s">
        <v>1040</v>
      </c>
      <c r="C25" s="1167" t="s">
        <v>391</v>
      </c>
      <c r="D25" s="1191">
        <f t="shared" ref="D25:D38" si="0">SUM(E25:H25)</f>
        <v>19137</v>
      </c>
      <c r="E25" s="1209">
        <v>4352</v>
      </c>
      <c r="F25" s="516">
        <v>5397</v>
      </c>
      <c r="G25" s="516">
        <v>5050</v>
      </c>
      <c r="H25" s="517">
        <v>4338</v>
      </c>
    </row>
    <row r="26" spans="1:8" ht="40.5" customHeight="1" x14ac:dyDescent="0.2">
      <c r="A26" s="299" t="s">
        <v>185</v>
      </c>
      <c r="B26" s="570" t="s">
        <v>1041</v>
      </c>
      <c r="C26" s="1167" t="s">
        <v>1044</v>
      </c>
      <c r="D26" s="1191">
        <f t="shared" si="0"/>
        <v>3</v>
      </c>
      <c r="E26" s="1209">
        <v>2</v>
      </c>
      <c r="F26" s="516">
        <v>1</v>
      </c>
      <c r="G26" s="516">
        <v>0</v>
      </c>
      <c r="H26" s="517">
        <v>0</v>
      </c>
    </row>
    <row r="27" spans="1:8" ht="40.5" customHeight="1" x14ac:dyDescent="0.2">
      <c r="A27" s="302" t="s">
        <v>185</v>
      </c>
      <c r="B27" s="951" t="s">
        <v>241</v>
      </c>
      <c r="C27" s="1168" t="s">
        <v>392</v>
      </c>
      <c r="D27" s="1190">
        <f t="shared" si="0"/>
        <v>5051</v>
      </c>
      <c r="E27" s="1210">
        <f>SUM(E28:E29)</f>
        <v>1081</v>
      </c>
      <c r="F27" s="1210">
        <f>SUM(F28:F29)</f>
        <v>1683</v>
      </c>
      <c r="G27" s="1210">
        <f>SUM(G28:G29)</f>
        <v>1121</v>
      </c>
      <c r="H27" s="1210">
        <f>SUM(H28:H29)</f>
        <v>1166</v>
      </c>
    </row>
    <row r="28" spans="1:8" ht="24.75" customHeight="1" x14ac:dyDescent="0.2">
      <c r="A28" s="299" t="s">
        <v>185</v>
      </c>
      <c r="B28" s="570" t="s">
        <v>1042</v>
      </c>
      <c r="C28" s="1167" t="s">
        <v>392</v>
      </c>
      <c r="D28" s="1191">
        <f t="shared" si="0"/>
        <v>5050</v>
      </c>
      <c r="E28" s="1209">
        <v>1080</v>
      </c>
      <c r="F28" s="516">
        <v>1683</v>
      </c>
      <c r="G28" s="516">
        <v>1121</v>
      </c>
      <c r="H28" s="517">
        <v>1166</v>
      </c>
    </row>
    <row r="29" spans="1:8" ht="35.25" customHeight="1" x14ac:dyDescent="0.2">
      <c r="A29" s="299" t="s">
        <v>185</v>
      </c>
      <c r="B29" s="570" t="s">
        <v>1043</v>
      </c>
      <c r="C29" s="1167" t="s">
        <v>1045</v>
      </c>
      <c r="D29" s="1191">
        <f t="shared" si="0"/>
        <v>1</v>
      </c>
      <c r="E29" s="1209">
        <v>1</v>
      </c>
      <c r="F29" s="516">
        <v>0</v>
      </c>
      <c r="G29" s="516">
        <v>0</v>
      </c>
      <c r="H29" s="517">
        <v>0</v>
      </c>
    </row>
    <row r="30" spans="1:8" ht="27" customHeight="1" x14ac:dyDescent="0.2">
      <c r="A30" s="1171" t="s">
        <v>1057</v>
      </c>
      <c r="B30" s="725" t="s">
        <v>1060</v>
      </c>
      <c r="C30" s="1234" t="s">
        <v>1059</v>
      </c>
      <c r="D30" s="1230">
        <f t="shared" si="0"/>
        <v>1754</v>
      </c>
      <c r="E30" s="1231">
        <v>790</v>
      </c>
      <c r="F30" s="1232">
        <v>800</v>
      </c>
      <c r="G30" s="1232">
        <v>55</v>
      </c>
      <c r="H30" s="1233">
        <v>109</v>
      </c>
    </row>
    <row r="31" spans="1:8" ht="33" hidden="1" customHeight="1" x14ac:dyDescent="0.2">
      <c r="A31" s="299" t="s">
        <v>1057</v>
      </c>
      <c r="B31" s="570" t="s">
        <v>1058</v>
      </c>
      <c r="C31" s="1229" t="s">
        <v>1059</v>
      </c>
      <c r="D31" s="1191">
        <f t="shared" si="0"/>
        <v>1319.3</v>
      </c>
      <c r="E31" s="1209">
        <v>322.3</v>
      </c>
      <c r="F31" s="1227">
        <v>767.3</v>
      </c>
      <c r="G31" s="1227">
        <v>105.7</v>
      </c>
      <c r="H31" s="1228">
        <v>124</v>
      </c>
    </row>
    <row r="32" spans="1:8" ht="26.25" customHeight="1" x14ac:dyDescent="0.2">
      <c r="A32" s="1966" t="s">
        <v>185</v>
      </c>
      <c r="B32" s="1967" t="s">
        <v>554</v>
      </c>
      <c r="C32" s="1968" t="s">
        <v>325</v>
      </c>
      <c r="D32" s="1969">
        <f t="shared" si="0"/>
        <v>33333</v>
      </c>
      <c r="E32" s="1970">
        <f>SUM(E33:E34)</f>
        <v>7833</v>
      </c>
      <c r="F32" s="1971">
        <f>SUM(F33:F34)</f>
        <v>8400</v>
      </c>
      <c r="G32" s="1971">
        <f>SUM(G33:G34)</f>
        <v>9200</v>
      </c>
      <c r="H32" s="1972">
        <f>SUM(H33:H34)</f>
        <v>7900</v>
      </c>
    </row>
    <row r="33" spans="1:8" ht="16.5" customHeight="1" x14ac:dyDescent="0.2">
      <c r="A33" s="130" t="s">
        <v>185</v>
      </c>
      <c r="B33" s="570" t="s">
        <v>1046</v>
      </c>
      <c r="C33" s="1167" t="s">
        <v>325</v>
      </c>
      <c r="D33" s="1191">
        <f t="shared" si="0"/>
        <v>33300</v>
      </c>
      <c r="E33" s="1209">
        <v>7800</v>
      </c>
      <c r="F33" s="516">
        <v>8400</v>
      </c>
      <c r="G33" s="516">
        <v>9200</v>
      </c>
      <c r="H33" s="517">
        <v>7900</v>
      </c>
    </row>
    <row r="34" spans="1:8" ht="25.5" customHeight="1" x14ac:dyDescent="0.2">
      <c r="A34" s="130" t="s">
        <v>185</v>
      </c>
      <c r="B34" s="570" t="s">
        <v>1047</v>
      </c>
      <c r="C34" s="1167" t="s">
        <v>1048</v>
      </c>
      <c r="D34" s="1191">
        <f t="shared" si="0"/>
        <v>33</v>
      </c>
      <c r="E34" s="1209">
        <v>33</v>
      </c>
      <c r="F34" s="516">
        <v>0</v>
      </c>
      <c r="G34" s="516">
        <v>0</v>
      </c>
      <c r="H34" s="517">
        <v>0</v>
      </c>
    </row>
    <row r="35" spans="1:8" ht="27.75" customHeight="1" x14ac:dyDescent="0.2">
      <c r="A35" s="1966" t="s">
        <v>184</v>
      </c>
      <c r="B35" s="1967" t="s">
        <v>1307</v>
      </c>
      <c r="C35" s="1968" t="s">
        <v>1308</v>
      </c>
      <c r="D35" s="1969">
        <f>SUM(E35:H35)</f>
        <v>397</v>
      </c>
      <c r="E35" s="1970">
        <f>SUM(E36:E36)</f>
        <v>113</v>
      </c>
      <c r="F35" s="1971">
        <f>SUM(F36:F36)</f>
        <v>86</v>
      </c>
      <c r="G35" s="1971">
        <f>SUM(G36:G36)</f>
        <v>142</v>
      </c>
      <c r="H35" s="1972">
        <f>SUM(H36:H36)</f>
        <v>56</v>
      </c>
    </row>
    <row r="36" spans="1:8" ht="35.25" customHeight="1" x14ac:dyDescent="0.2">
      <c r="A36" s="130" t="s">
        <v>185</v>
      </c>
      <c r="B36" s="570" t="s">
        <v>1309</v>
      </c>
      <c r="C36" s="1167" t="s">
        <v>1565</v>
      </c>
      <c r="D36" s="1191">
        <f>SUM(E36:H36)</f>
        <v>397</v>
      </c>
      <c r="E36" s="1209">
        <v>113</v>
      </c>
      <c r="F36" s="516">
        <v>86</v>
      </c>
      <c r="G36" s="516">
        <v>142</v>
      </c>
      <c r="H36" s="517">
        <v>56</v>
      </c>
    </row>
    <row r="37" spans="1:8" ht="17.25" customHeight="1" x14ac:dyDescent="0.2">
      <c r="A37" s="578" t="s">
        <v>184</v>
      </c>
      <c r="B37" s="559" t="s">
        <v>187</v>
      </c>
      <c r="C37" s="603" t="s">
        <v>326</v>
      </c>
      <c r="D37" s="1192">
        <f t="shared" si="0"/>
        <v>39399.9</v>
      </c>
      <c r="E37" s="1211">
        <f t="shared" ref="E37:H38" si="1">E38</f>
        <v>2132</v>
      </c>
      <c r="F37" s="560">
        <f t="shared" si="1"/>
        <v>7567</v>
      </c>
      <c r="G37" s="560">
        <f t="shared" si="1"/>
        <v>16301</v>
      </c>
      <c r="H37" s="579">
        <f t="shared" si="1"/>
        <v>13399.9</v>
      </c>
    </row>
    <row r="38" spans="1:8" ht="15" customHeight="1" x14ac:dyDescent="0.2">
      <c r="A38" s="1966" t="s">
        <v>184</v>
      </c>
      <c r="B38" s="1967" t="s">
        <v>734</v>
      </c>
      <c r="C38" s="1968" t="s">
        <v>327</v>
      </c>
      <c r="D38" s="1969">
        <f t="shared" si="0"/>
        <v>39399.9</v>
      </c>
      <c r="E38" s="1970">
        <f t="shared" si="1"/>
        <v>2132</v>
      </c>
      <c r="F38" s="1973">
        <f t="shared" si="1"/>
        <v>7567</v>
      </c>
      <c r="G38" s="1973">
        <f t="shared" si="1"/>
        <v>16301</v>
      </c>
      <c r="H38" s="1974">
        <f t="shared" si="1"/>
        <v>13399.9</v>
      </c>
    </row>
    <row r="39" spans="1:8" ht="51" x14ac:dyDescent="0.2">
      <c r="A39" s="73" t="s">
        <v>185</v>
      </c>
      <c r="B39" s="558" t="s">
        <v>555</v>
      </c>
      <c r="C39" s="604" t="s">
        <v>1566</v>
      </c>
      <c r="D39" s="1190">
        <f>SUM(E39:H39)</f>
        <v>39399.9</v>
      </c>
      <c r="E39" s="1212">
        <v>2132</v>
      </c>
      <c r="F39" s="511">
        <v>7567</v>
      </c>
      <c r="G39" s="511">
        <v>16301</v>
      </c>
      <c r="H39" s="512">
        <f>10343.333+56.595+3000-0.028</f>
        <v>13399.9</v>
      </c>
    </row>
    <row r="40" spans="1:8" ht="24.75" customHeight="1" x14ac:dyDescent="0.2">
      <c r="A40" s="300" t="s">
        <v>184</v>
      </c>
      <c r="B40" s="562" t="s">
        <v>136</v>
      </c>
      <c r="C40" s="605" t="s">
        <v>631</v>
      </c>
      <c r="D40" s="1193">
        <f>D41</f>
        <v>10</v>
      </c>
      <c r="E40" s="1213">
        <f>E41</f>
        <v>10</v>
      </c>
      <c r="F40" s="563">
        <f>F41</f>
        <v>0</v>
      </c>
      <c r="G40" s="563">
        <f>G41</f>
        <v>0</v>
      </c>
      <c r="H40" s="563">
        <f>G40</f>
        <v>0</v>
      </c>
    </row>
    <row r="41" spans="1:8" ht="17.25" customHeight="1" x14ac:dyDescent="0.2">
      <c r="A41" s="1975" t="s">
        <v>184</v>
      </c>
      <c r="B41" s="572" t="s">
        <v>899</v>
      </c>
      <c r="C41" s="1968" t="s">
        <v>900</v>
      </c>
      <c r="D41" s="1969">
        <f>SUM(E41:H41)</f>
        <v>10</v>
      </c>
      <c r="E41" s="1970">
        <f>E42</f>
        <v>10</v>
      </c>
      <c r="F41" s="1973">
        <f>F42</f>
        <v>0</v>
      </c>
      <c r="G41" s="1973">
        <f>G42</f>
        <v>0</v>
      </c>
      <c r="H41" s="1973">
        <f>H42</f>
        <v>0</v>
      </c>
    </row>
    <row r="42" spans="1:8" ht="25.5" x14ac:dyDescent="0.2">
      <c r="A42" s="72" t="s">
        <v>185</v>
      </c>
      <c r="B42" s="565" t="s">
        <v>238</v>
      </c>
      <c r="C42" s="604" t="s">
        <v>328</v>
      </c>
      <c r="D42" s="1190">
        <f>SUM(E42:H42)</f>
        <v>10</v>
      </c>
      <c r="E42" s="1214">
        <v>10</v>
      </c>
      <c r="F42" s="497">
        <v>0</v>
      </c>
      <c r="G42" s="497">
        <v>0</v>
      </c>
      <c r="H42" s="498">
        <v>0</v>
      </c>
    </row>
    <row r="43" spans="1:8" ht="15.75" x14ac:dyDescent="0.2">
      <c r="A43" s="582"/>
      <c r="B43" s="566"/>
      <c r="C43" s="606" t="s">
        <v>534</v>
      </c>
      <c r="D43" s="1194"/>
      <c r="E43" s="1215"/>
      <c r="F43" s="567"/>
      <c r="G43" s="567"/>
      <c r="H43" s="583"/>
    </row>
    <row r="44" spans="1:8" ht="36" hidden="1" x14ac:dyDescent="0.2">
      <c r="A44" s="578" t="s">
        <v>184</v>
      </c>
      <c r="B44" s="562" t="s">
        <v>142</v>
      </c>
      <c r="C44" s="607" t="s">
        <v>143</v>
      </c>
      <c r="D44" s="1195">
        <f>D45+D48</f>
        <v>0</v>
      </c>
      <c r="E44" s="1216">
        <f>E45+E48</f>
        <v>0</v>
      </c>
      <c r="F44" s="568">
        <f>F45+F48</f>
        <v>0</v>
      </c>
      <c r="G44" s="568">
        <f>G45+G48</f>
        <v>0</v>
      </c>
      <c r="H44" s="584">
        <f>H45+H48</f>
        <v>0</v>
      </c>
    </row>
    <row r="45" spans="1:8" ht="24" hidden="1" x14ac:dyDescent="0.2">
      <c r="A45" s="581" t="s">
        <v>696</v>
      </c>
      <c r="B45" s="564" t="s">
        <v>144</v>
      </c>
      <c r="C45" s="608" t="s">
        <v>145</v>
      </c>
      <c r="D45" s="1196">
        <f>D47</f>
        <v>0</v>
      </c>
      <c r="E45" s="1217">
        <f>E47</f>
        <v>0</v>
      </c>
      <c r="F45" s="503">
        <f>F47</f>
        <v>0</v>
      </c>
      <c r="G45" s="503">
        <f>G47</f>
        <v>0</v>
      </c>
      <c r="H45" s="504">
        <f>H47</f>
        <v>0</v>
      </c>
    </row>
    <row r="46" spans="1:8" ht="89.25" hidden="1" x14ac:dyDescent="0.2">
      <c r="A46" s="72" t="s">
        <v>696</v>
      </c>
      <c r="B46" s="565" t="s">
        <v>226</v>
      </c>
      <c r="C46" s="609" t="s">
        <v>771</v>
      </c>
      <c r="D46" s="1197">
        <f>D47</f>
        <v>0</v>
      </c>
      <c r="E46" s="1218">
        <f>E47</f>
        <v>0</v>
      </c>
      <c r="F46" s="499">
        <f>F47</f>
        <v>0</v>
      </c>
      <c r="G46" s="499">
        <f>G47</f>
        <v>0</v>
      </c>
      <c r="H46" s="500">
        <f>H47</f>
        <v>0</v>
      </c>
    </row>
    <row r="47" spans="1:8" ht="60" hidden="1" x14ac:dyDescent="0.2">
      <c r="A47" s="72" t="s">
        <v>696</v>
      </c>
      <c r="B47" s="569" t="s">
        <v>146</v>
      </c>
      <c r="C47" s="610" t="s">
        <v>418</v>
      </c>
      <c r="D47" s="1198">
        <f>SUM(E47:H47)</f>
        <v>0</v>
      </c>
      <c r="E47" s="1219">
        <v>0</v>
      </c>
      <c r="F47" s="501">
        <v>0</v>
      </c>
      <c r="G47" s="501">
        <v>0</v>
      </c>
      <c r="H47" s="502">
        <v>0</v>
      </c>
    </row>
    <row r="48" spans="1:8" ht="24" hidden="1" x14ac:dyDescent="0.2">
      <c r="A48" s="581" t="s">
        <v>696</v>
      </c>
      <c r="B48" s="564" t="s">
        <v>147</v>
      </c>
      <c r="C48" s="611" t="s">
        <v>148</v>
      </c>
      <c r="D48" s="1196">
        <f t="shared" ref="D48:H49" si="2">D49</f>
        <v>0</v>
      </c>
      <c r="E48" s="1217">
        <f t="shared" si="2"/>
        <v>0</v>
      </c>
      <c r="F48" s="503">
        <f t="shared" si="2"/>
        <v>0</v>
      </c>
      <c r="G48" s="503">
        <f t="shared" si="2"/>
        <v>0</v>
      </c>
      <c r="H48" s="504">
        <f t="shared" si="2"/>
        <v>0</v>
      </c>
    </row>
    <row r="49" spans="1:8" ht="38.25" hidden="1" x14ac:dyDescent="0.2">
      <c r="A49" s="72" t="s">
        <v>696</v>
      </c>
      <c r="B49" s="565" t="s">
        <v>149</v>
      </c>
      <c r="C49" s="609" t="s">
        <v>150</v>
      </c>
      <c r="D49" s="1197">
        <f t="shared" si="2"/>
        <v>0</v>
      </c>
      <c r="E49" s="1218">
        <f t="shared" si="2"/>
        <v>0</v>
      </c>
      <c r="F49" s="499">
        <f t="shared" si="2"/>
        <v>0</v>
      </c>
      <c r="G49" s="499">
        <f t="shared" si="2"/>
        <v>0</v>
      </c>
      <c r="H49" s="500">
        <f t="shared" si="2"/>
        <v>0</v>
      </c>
    </row>
    <row r="50" spans="1:8" ht="60" hidden="1" x14ac:dyDescent="0.2">
      <c r="A50" s="100" t="s">
        <v>696</v>
      </c>
      <c r="B50" s="569" t="s">
        <v>151</v>
      </c>
      <c r="C50" s="610" t="s">
        <v>419</v>
      </c>
      <c r="D50" s="1198">
        <f>SUM(E50:H50)</f>
        <v>0</v>
      </c>
      <c r="E50" s="1219">
        <v>0</v>
      </c>
      <c r="F50" s="501">
        <v>0</v>
      </c>
      <c r="G50" s="501">
        <v>0</v>
      </c>
      <c r="H50" s="502">
        <v>0</v>
      </c>
    </row>
    <row r="51" spans="1:8" ht="24.75" customHeight="1" x14ac:dyDescent="0.2">
      <c r="A51" s="578" t="s">
        <v>184</v>
      </c>
      <c r="B51" s="562" t="s">
        <v>979</v>
      </c>
      <c r="C51" s="607" t="s">
        <v>1109</v>
      </c>
      <c r="D51" s="1195">
        <f t="shared" ref="D51:H52" si="3">D52</f>
        <v>900</v>
      </c>
      <c r="E51" s="1216">
        <f t="shared" si="3"/>
        <v>0</v>
      </c>
      <c r="F51" s="568">
        <f t="shared" si="3"/>
        <v>230</v>
      </c>
      <c r="G51" s="568">
        <f t="shared" si="3"/>
        <v>600</v>
      </c>
      <c r="H51" s="584">
        <f t="shared" si="3"/>
        <v>70</v>
      </c>
    </row>
    <row r="52" spans="1:8" x14ac:dyDescent="0.2">
      <c r="A52" s="581" t="s">
        <v>184</v>
      </c>
      <c r="B52" s="564" t="s">
        <v>1130</v>
      </c>
      <c r="C52" s="611" t="s">
        <v>1209</v>
      </c>
      <c r="D52" s="1196">
        <f>SUM(E52:H52)</f>
        <v>900</v>
      </c>
      <c r="E52" s="1217">
        <f>E53</f>
        <v>0</v>
      </c>
      <c r="F52" s="1217">
        <f t="shared" si="3"/>
        <v>230</v>
      </c>
      <c r="G52" s="1217">
        <f t="shared" si="3"/>
        <v>600</v>
      </c>
      <c r="H52" s="1217">
        <f t="shared" si="3"/>
        <v>70</v>
      </c>
    </row>
    <row r="53" spans="1:8" x14ac:dyDescent="0.2">
      <c r="A53" s="581" t="s">
        <v>1049</v>
      </c>
      <c r="B53" s="83" t="s">
        <v>1210</v>
      </c>
      <c r="C53" s="1186" t="s">
        <v>1211</v>
      </c>
      <c r="D53" s="1196">
        <f>SUM(E53:H53)</f>
        <v>900</v>
      </c>
      <c r="E53" s="1217">
        <f>E54</f>
        <v>0</v>
      </c>
      <c r="F53" s="1217">
        <f>F54</f>
        <v>230</v>
      </c>
      <c r="G53" s="1217">
        <f>G54</f>
        <v>600</v>
      </c>
      <c r="H53" s="1217">
        <f>H54</f>
        <v>70</v>
      </c>
    </row>
    <row r="54" spans="1:8" ht="38.25" x14ac:dyDescent="0.2">
      <c r="A54" s="72" t="s">
        <v>1049</v>
      </c>
      <c r="B54" s="565" t="s">
        <v>1131</v>
      </c>
      <c r="C54" s="609" t="s">
        <v>1567</v>
      </c>
      <c r="D54" s="1197">
        <f>SUM(D55:D56)</f>
        <v>900</v>
      </c>
      <c r="E54" s="1218">
        <f>SUM(E55:E56)</f>
        <v>0</v>
      </c>
      <c r="F54" s="499">
        <f>SUM(F55:F56)</f>
        <v>230</v>
      </c>
      <c r="G54" s="499">
        <f>SUM(G55:G56)</f>
        <v>600</v>
      </c>
      <c r="H54" s="500">
        <f>SUM(H55:H56)</f>
        <v>70</v>
      </c>
    </row>
    <row r="55" spans="1:8" ht="60" x14ac:dyDescent="0.2">
      <c r="A55" s="100" t="s">
        <v>1049</v>
      </c>
      <c r="B55" s="569" t="s">
        <v>1132</v>
      </c>
      <c r="C55" s="612" t="s">
        <v>632</v>
      </c>
      <c r="D55" s="1199">
        <f>SUM(E55:H55)</f>
        <v>900</v>
      </c>
      <c r="E55" s="1220">
        <v>0</v>
      </c>
      <c r="F55" s="505">
        <v>230</v>
      </c>
      <c r="G55" s="505">
        <v>600</v>
      </c>
      <c r="H55" s="506">
        <v>70</v>
      </c>
    </row>
    <row r="56" spans="1:8" ht="48" hidden="1" x14ac:dyDescent="0.2">
      <c r="A56" s="100" t="s">
        <v>184</v>
      </c>
      <c r="B56" s="569" t="s">
        <v>781</v>
      </c>
      <c r="C56" s="612" t="s">
        <v>780</v>
      </c>
      <c r="D56" s="1198">
        <f>SUM(E56:H56)</f>
        <v>0</v>
      </c>
      <c r="E56" s="1219">
        <v>0</v>
      </c>
      <c r="F56" s="501">
        <v>0</v>
      </c>
      <c r="G56" s="501">
        <v>0</v>
      </c>
      <c r="H56" s="502">
        <v>0</v>
      </c>
    </row>
    <row r="57" spans="1:8" ht="28.5" hidden="1" x14ac:dyDescent="0.2">
      <c r="A57" s="578" t="s">
        <v>184</v>
      </c>
      <c r="B57" s="562" t="s">
        <v>137</v>
      </c>
      <c r="C57" s="607" t="s">
        <v>138</v>
      </c>
      <c r="D57" s="1195">
        <f>D58+D61</f>
        <v>0</v>
      </c>
      <c r="E57" s="1216">
        <f>E58</f>
        <v>0</v>
      </c>
      <c r="F57" s="568">
        <f>F58</f>
        <v>0</v>
      </c>
      <c r="G57" s="568">
        <f>G58</f>
        <v>0</v>
      </c>
      <c r="H57" s="584">
        <f>H58</f>
        <v>0</v>
      </c>
    </row>
    <row r="58" spans="1:8" ht="60" hidden="1" x14ac:dyDescent="0.2">
      <c r="A58" s="581" t="s">
        <v>696</v>
      </c>
      <c r="B58" s="564" t="s">
        <v>139</v>
      </c>
      <c r="C58" s="611" t="s">
        <v>357</v>
      </c>
      <c r="D58" s="1196">
        <f>SUM(D59:D60)</f>
        <v>0</v>
      </c>
      <c r="E58" s="1217">
        <f>SUM(E59:E60)</f>
        <v>0</v>
      </c>
      <c r="F58" s="503">
        <f>SUM(F59:F60)</f>
        <v>0</v>
      </c>
      <c r="G58" s="503">
        <f>SUM(G59:G60)</f>
        <v>0</v>
      </c>
      <c r="H58" s="504">
        <f>SUM(H59:H60)</f>
        <v>0</v>
      </c>
    </row>
    <row r="59" spans="1:8" ht="102" hidden="1" x14ac:dyDescent="0.2">
      <c r="A59" s="72" t="s">
        <v>696</v>
      </c>
      <c r="B59" s="565" t="s">
        <v>140</v>
      </c>
      <c r="C59" s="609" t="s">
        <v>754</v>
      </c>
      <c r="D59" s="1197">
        <f>SUM(E59:H59)</f>
        <v>0</v>
      </c>
      <c r="E59" s="1221">
        <v>0</v>
      </c>
      <c r="F59" s="507">
        <v>0</v>
      </c>
      <c r="G59" s="507">
        <v>0</v>
      </c>
      <c r="H59" s="508">
        <v>0</v>
      </c>
    </row>
    <row r="60" spans="1:8" ht="102" hidden="1" x14ac:dyDescent="0.2">
      <c r="A60" s="72" t="s">
        <v>696</v>
      </c>
      <c r="B60" s="565" t="s">
        <v>141</v>
      </c>
      <c r="C60" s="609" t="s">
        <v>400</v>
      </c>
      <c r="D60" s="1197">
        <f>SUM(E60:H60)</f>
        <v>0</v>
      </c>
      <c r="E60" s="1221">
        <v>0</v>
      </c>
      <c r="F60" s="507">
        <v>0</v>
      </c>
      <c r="G60" s="507">
        <v>0</v>
      </c>
      <c r="H60" s="508">
        <v>0</v>
      </c>
    </row>
    <row r="61" spans="1:8" hidden="1" x14ac:dyDescent="0.2">
      <c r="A61" s="581" t="s">
        <v>696</v>
      </c>
      <c r="B61" s="564" t="s">
        <v>256</v>
      </c>
      <c r="C61" s="611" t="s">
        <v>257</v>
      </c>
      <c r="D61" s="1198">
        <f>D62</f>
        <v>0</v>
      </c>
      <c r="E61" s="1220">
        <f>E62</f>
        <v>0</v>
      </c>
      <c r="F61" s="505">
        <f>F62</f>
        <v>0</v>
      </c>
      <c r="G61" s="505">
        <f>G62</f>
        <v>0</v>
      </c>
      <c r="H61" s="506">
        <f>H62</f>
        <v>0</v>
      </c>
    </row>
    <row r="62" spans="1:8" ht="51" hidden="1" x14ac:dyDescent="0.2">
      <c r="A62" s="72" t="s">
        <v>696</v>
      </c>
      <c r="B62" s="565" t="s">
        <v>258</v>
      </c>
      <c r="C62" s="609" t="s">
        <v>358</v>
      </c>
      <c r="D62" s="1197">
        <f>SUM(E62:H62)</f>
        <v>0</v>
      </c>
      <c r="E62" s="1221">
        <v>0</v>
      </c>
      <c r="F62" s="507">
        <v>0</v>
      </c>
      <c r="G62" s="507">
        <v>0</v>
      </c>
      <c r="H62" s="508">
        <v>0</v>
      </c>
    </row>
    <row r="63" spans="1:8" ht="15.75" customHeight="1" x14ac:dyDescent="0.2">
      <c r="A63" s="578" t="s">
        <v>184</v>
      </c>
      <c r="B63" s="562" t="s">
        <v>724</v>
      </c>
      <c r="C63" s="613" t="s">
        <v>329</v>
      </c>
      <c r="D63" s="1192">
        <f t="shared" ref="D63:D78" si="4">SUM(E63:H63)</f>
        <v>1726.8</v>
      </c>
      <c r="E63" s="1211">
        <f>E64+E65+E67+E69+E71</f>
        <v>473</v>
      </c>
      <c r="F63" s="560">
        <f>F64+F65+F67+F69+F71</f>
        <v>462.8</v>
      </c>
      <c r="G63" s="560">
        <f>G64+G65+G67+G69+G71</f>
        <v>428</v>
      </c>
      <c r="H63" s="579">
        <f>H64+H65+H67+H69+H71</f>
        <v>363</v>
      </c>
    </row>
    <row r="64" spans="1:8" ht="52.5" customHeight="1" x14ac:dyDescent="0.2">
      <c r="A64" s="79" t="s">
        <v>185</v>
      </c>
      <c r="B64" s="561" t="s">
        <v>725</v>
      </c>
      <c r="C64" s="614" t="s">
        <v>1113</v>
      </c>
      <c r="D64" s="1189">
        <f t="shared" si="4"/>
        <v>277</v>
      </c>
      <c r="E64" s="2086">
        <v>113</v>
      </c>
      <c r="F64" s="2087">
        <v>86</v>
      </c>
      <c r="G64" s="2087">
        <v>70</v>
      </c>
      <c r="H64" s="2088">
        <v>8</v>
      </c>
    </row>
    <row r="65" spans="1:9" ht="24" hidden="1" x14ac:dyDescent="0.2">
      <c r="A65" s="79" t="s">
        <v>184</v>
      </c>
      <c r="B65" s="561" t="s">
        <v>242</v>
      </c>
      <c r="C65" s="614" t="s">
        <v>243</v>
      </c>
      <c r="D65" s="1189">
        <f t="shared" si="4"/>
        <v>0</v>
      </c>
      <c r="E65" s="1206">
        <f>E66</f>
        <v>0</v>
      </c>
      <c r="F65" s="509">
        <f>F66</f>
        <v>0</v>
      </c>
      <c r="G65" s="509">
        <f>G66</f>
        <v>0</v>
      </c>
      <c r="H65" s="510">
        <f>H66</f>
        <v>0</v>
      </c>
    </row>
    <row r="66" spans="1:9" ht="51" hidden="1" x14ac:dyDescent="0.2">
      <c r="A66" s="2089" t="s">
        <v>184</v>
      </c>
      <c r="B66" s="1967" t="s">
        <v>244</v>
      </c>
      <c r="C66" s="1976" t="s">
        <v>359</v>
      </c>
      <c r="D66" s="1969">
        <f t="shared" si="4"/>
        <v>0</v>
      </c>
      <c r="E66" s="1977">
        <v>0</v>
      </c>
      <c r="F66" s="1978">
        <v>0</v>
      </c>
      <c r="G66" s="1978">
        <v>0</v>
      </c>
      <c r="H66" s="2090">
        <v>0</v>
      </c>
    </row>
    <row r="67" spans="1:9" ht="38.25" hidden="1" x14ac:dyDescent="0.2">
      <c r="A67" s="1966" t="s">
        <v>184</v>
      </c>
      <c r="B67" s="1967" t="s">
        <v>245</v>
      </c>
      <c r="C67" s="1976" t="s">
        <v>246</v>
      </c>
      <c r="D67" s="1969">
        <f>SUM(E67:H67)</f>
        <v>0</v>
      </c>
      <c r="E67" s="1977">
        <f>E68</f>
        <v>0</v>
      </c>
      <c r="F67" s="1978">
        <f>F68</f>
        <v>0</v>
      </c>
      <c r="G67" s="1978">
        <f>G68</f>
        <v>0</v>
      </c>
      <c r="H67" s="1978">
        <f>H68</f>
        <v>0</v>
      </c>
    </row>
    <row r="68" spans="1:9" ht="53.25" hidden="1" customHeight="1" x14ac:dyDescent="0.2">
      <c r="A68" s="2489" t="s">
        <v>1212</v>
      </c>
      <c r="B68" s="2490" t="s">
        <v>360</v>
      </c>
      <c r="C68" s="2496" t="s">
        <v>1568</v>
      </c>
      <c r="D68" s="2492">
        <f>SUM(E68:H68)</f>
        <v>0</v>
      </c>
      <c r="E68" s="2493">
        <v>0</v>
      </c>
      <c r="F68" s="2494">
        <v>0</v>
      </c>
      <c r="G68" s="2494">
        <f>1-1</f>
        <v>0</v>
      </c>
      <c r="H68" s="2495">
        <v>0</v>
      </c>
    </row>
    <row r="69" spans="1:9" ht="55.5" customHeight="1" x14ac:dyDescent="0.2">
      <c r="A69" s="2091" t="s">
        <v>184</v>
      </c>
      <c r="B69" s="1967" t="s">
        <v>1614</v>
      </c>
      <c r="C69" s="2092" t="s">
        <v>1615</v>
      </c>
      <c r="D69" s="1189">
        <f t="shared" si="4"/>
        <v>1</v>
      </c>
      <c r="E69" s="1206">
        <f>E70</f>
        <v>0</v>
      </c>
      <c r="F69" s="509">
        <f>F70</f>
        <v>0</v>
      </c>
      <c r="G69" s="509">
        <f>G70</f>
        <v>0</v>
      </c>
      <c r="H69" s="510">
        <f>H70</f>
        <v>1</v>
      </c>
    </row>
    <row r="70" spans="1:9" ht="67.5" customHeight="1" x14ac:dyDescent="0.2">
      <c r="A70" s="2489" t="s">
        <v>1604</v>
      </c>
      <c r="B70" s="2490" t="s">
        <v>1355</v>
      </c>
      <c r="C70" s="2491" t="s">
        <v>1576</v>
      </c>
      <c r="D70" s="2492">
        <f t="shared" si="4"/>
        <v>1</v>
      </c>
      <c r="E70" s="2493">
        <v>0</v>
      </c>
      <c r="F70" s="2494">
        <v>0</v>
      </c>
      <c r="G70" s="2494">
        <v>0</v>
      </c>
      <c r="H70" s="2495">
        <v>1</v>
      </c>
    </row>
    <row r="71" spans="1:9" ht="30.75" customHeight="1" x14ac:dyDescent="0.2">
      <c r="A71" s="1966" t="s">
        <v>184</v>
      </c>
      <c r="B71" s="1967" t="s">
        <v>247</v>
      </c>
      <c r="C71" s="1976" t="s">
        <v>332</v>
      </c>
      <c r="D71" s="1969">
        <f t="shared" si="4"/>
        <v>1448.8</v>
      </c>
      <c r="E71" s="1979">
        <f>E72</f>
        <v>360</v>
      </c>
      <c r="F71" s="1980">
        <f>F72</f>
        <v>376.8</v>
      </c>
      <c r="G71" s="1980">
        <f>G72</f>
        <v>358</v>
      </c>
      <c r="H71" s="1981">
        <f>H72</f>
        <v>354</v>
      </c>
    </row>
    <row r="72" spans="1:9" ht="54" x14ac:dyDescent="0.2">
      <c r="A72" s="950" t="s">
        <v>184</v>
      </c>
      <c r="B72" s="951" t="s">
        <v>397</v>
      </c>
      <c r="C72" s="620" t="s">
        <v>1569</v>
      </c>
      <c r="D72" s="1190">
        <f>SUM(D73:D78)</f>
        <v>1448.8</v>
      </c>
      <c r="E72" s="642">
        <f>SUM(E73:E78)</f>
        <v>360</v>
      </c>
      <c r="F72" s="642">
        <f>SUM(F73:F78)</f>
        <v>376.8</v>
      </c>
      <c r="G72" s="642">
        <f>SUM(G73:G78)</f>
        <v>358</v>
      </c>
      <c r="H72" s="642">
        <f>SUM(H73:H78)</f>
        <v>354</v>
      </c>
    </row>
    <row r="73" spans="1:9" ht="48" x14ac:dyDescent="0.2">
      <c r="A73" s="130" t="s">
        <v>20</v>
      </c>
      <c r="B73" s="570" t="s">
        <v>366</v>
      </c>
      <c r="C73" s="616" t="s">
        <v>1114</v>
      </c>
      <c r="D73" s="1201">
        <f t="shared" si="4"/>
        <v>1100</v>
      </c>
      <c r="E73" s="1209">
        <v>275</v>
      </c>
      <c r="F73" s="516">
        <v>275</v>
      </c>
      <c r="G73" s="516">
        <v>275</v>
      </c>
      <c r="H73" s="517">
        <v>275</v>
      </c>
      <c r="I73" s="1019"/>
    </row>
    <row r="74" spans="1:9" ht="48" x14ac:dyDescent="0.2">
      <c r="A74" s="130" t="s">
        <v>81</v>
      </c>
      <c r="B74" s="570" t="s">
        <v>366</v>
      </c>
      <c r="C74" s="616" t="s">
        <v>1114</v>
      </c>
      <c r="D74" s="1201">
        <f t="shared" si="4"/>
        <v>84</v>
      </c>
      <c r="E74" s="1209">
        <v>24</v>
      </c>
      <c r="F74" s="516">
        <v>20</v>
      </c>
      <c r="G74" s="516">
        <v>20</v>
      </c>
      <c r="H74" s="517">
        <v>20</v>
      </c>
      <c r="I74" s="1019"/>
    </row>
    <row r="75" spans="1:9" ht="48" x14ac:dyDescent="0.2">
      <c r="A75" s="130" t="s">
        <v>82</v>
      </c>
      <c r="B75" s="570" t="s">
        <v>366</v>
      </c>
      <c r="C75" s="616" t="s">
        <v>1114</v>
      </c>
      <c r="D75" s="1201">
        <f t="shared" si="4"/>
        <v>10</v>
      </c>
      <c r="E75" s="1209">
        <v>0</v>
      </c>
      <c r="F75" s="516">
        <v>10</v>
      </c>
      <c r="G75" s="516">
        <v>0</v>
      </c>
      <c r="H75" s="517">
        <v>0</v>
      </c>
    </row>
    <row r="76" spans="1:9" ht="48" hidden="1" x14ac:dyDescent="0.2">
      <c r="A76" s="130" t="s">
        <v>83</v>
      </c>
      <c r="B76" s="570" t="s">
        <v>366</v>
      </c>
      <c r="C76" s="616" t="s">
        <v>1114</v>
      </c>
      <c r="D76" s="1201">
        <f t="shared" si="4"/>
        <v>0</v>
      </c>
      <c r="E76" s="1209">
        <v>0</v>
      </c>
      <c r="F76" s="516">
        <f>1-1</f>
        <v>0</v>
      </c>
      <c r="G76" s="516">
        <v>0</v>
      </c>
      <c r="H76" s="517">
        <v>0</v>
      </c>
    </row>
    <row r="77" spans="1:9" ht="48" x14ac:dyDescent="0.2">
      <c r="A77" s="130" t="s">
        <v>1010</v>
      </c>
      <c r="B77" s="570" t="s">
        <v>366</v>
      </c>
      <c r="C77" s="616" t="s">
        <v>1114</v>
      </c>
      <c r="D77" s="1201">
        <f>SUM(E77:H77)</f>
        <v>218</v>
      </c>
      <c r="E77" s="1209">
        <v>54</v>
      </c>
      <c r="F77" s="516">
        <f>54+1</f>
        <v>55</v>
      </c>
      <c r="G77" s="516">
        <f>54+1</f>
        <v>55</v>
      </c>
      <c r="H77" s="517">
        <v>54</v>
      </c>
      <c r="I77" s="1019"/>
    </row>
    <row r="78" spans="1:9" ht="51" customHeight="1" x14ac:dyDescent="0.2">
      <c r="A78" s="130" t="s">
        <v>1010</v>
      </c>
      <c r="B78" s="570" t="s">
        <v>368</v>
      </c>
      <c r="C78" s="616" t="s">
        <v>1112</v>
      </c>
      <c r="D78" s="1201">
        <f t="shared" si="4"/>
        <v>36.799999999999997</v>
      </c>
      <c r="E78" s="1209">
        <v>7</v>
      </c>
      <c r="F78" s="516">
        <v>16.8</v>
      </c>
      <c r="G78" s="516">
        <v>8</v>
      </c>
      <c r="H78" s="517">
        <v>5</v>
      </c>
      <c r="I78" s="1019"/>
    </row>
    <row r="79" spans="1:9" ht="28.5" hidden="1" x14ac:dyDescent="0.2">
      <c r="A79" s="578" t="s">
        <v>184</v>
      </c>
      <c r="B79" s="562" t="s">
        <v>994</v>
      </c>
      <c r="C79" s="607" t="s">
        <v>995</v>
      </c>
      <c r="D79" s="1193">
        <f>D82</f>
        <v>0</v>
      </c>
      <c r="E79" s="1213">
        <f>E82</f>
        <v>0</v>
      </c>
      <c r="F79" s="563">
        <f>F82</f>
        <v>0</v>
      </c>
      <c r="G79" s="563">
        <f>G82</f>
        <v>0</v>
      </c>
      <c r="H79" s="580">
        <f>H82</f>
        <v>0</v>
      </c>
    </row>
    <row r="80" spans="1:9" hidden="1" x14ac:dyDescent="0.2">
      <c r="A80" s="581" t="s">
        <v>696</v>
      </c>
      <c r="B80" s="564" t="s">
        <v>749</v>
      </c>
      <c r="C80" s="611" t="s">
        <v>750</v>
      </c>
      <c r="D80" s="1196">
        <f>D81</f>
        <v>0</v>
      </c>
      <c r="E80" s="1217">
        <f>E81</f>
        <v>0</v>
      </c>
      <c r="F80" s="503">
        <f>F81</f>
        <v>0</v>
      </c>
      <c r="G80" s="503">
        <f>G81</f>
        <v>0</v>
      </c>
      <c r="H80" s="504">
        <f>H81</f>
        <v>0</v>
      </c>
    </row>
    <row r="81" spans="1:9" ht="38.25" hidden="1" x14ac:dyDescent="0.2">
      <c r="A81" s="72" t="s">
        <v>696</v>
      </c>
      <c r="B81" s="565" t="s">
        <v>751</v>
      </c>
      <c r="C81" s="609" t="s">
        <v>801</v>
      </c>
      <c r="D81" s="1197">
        <f>SUM(E81:H81)</f>
        <v>0</v>
      </c>
      <c r="E81" s="1218">
        <v>0</v>
      </c>
      <c r="F81" s="499">
        <v>0</v>
      </c>
      <c r="G81" s="499">
        <v>0</v>
      </c>
      <c r="H81" s="500">
        <v>0</v>
      </c>
    </row>
    <row r="82" spans="1:9" hidden="1" x14ac:dyDescent="0.2">
      <c r="A82" s="79" t="s">
        <v>184</v>
      </c>
      <c r="B82" s="561" t="s">
        <v>992</v>
      </c>
      <c r="C82" s="614" t="s">
        <v>993</v>
      </c>
      <c r="D82" s="1189">
        <f>SUM(E82:H82)</f>
        <v>0</v>
      </c>
      <c r="E82" s="1222">
        <f>E84</f>
        <v>0</v>
      </c>
      <c r="F82" s="513">
        <f>F84</f>
        <v>0</v>
      </c>
      <c r="G82" s="513">
        <f>G84</f>
        <v>0</v>
      </c>
      <c r="H82" s="514">
        <f>H84</f>
        <v>0</v>
      </c>
    </row>
    <row r="83" spans="1:9" ht="38.25" hidden="1" x14ac:dyDescent="0.2">
      <c r="A83" s="73" t="s">
        <v>696</v>
      </c>
      <c r="B83" s="558" t="s">
        <v>399</v>
      </c>
      <c r="C83" s="615" t="s">
        <v>402</v>
      </c>
      <c r="D83" s="1200">
        <f>D84</f>
        <v>0</v>
      </c>
      <c r="E83" s="1223">
        <f>E84</f>
        <v>0</v>
      </c>
      <c r="F83" s="515">
        <f>F84</f>
        <v>0</v>
      </c>
      <c r="G83" s="515">
        <f>G84</f>
        <v>0</v>
      </c>
      <c r="H83" s="518">
        <f>H84</f>
        <v>0</v>
      </c>
    </row>
    <row r="84" spans="1:9" ht="24" hidden="1" x14ac:dyDescent="0.2">
      <c r="A84" s="73" t="s">
        <v>696</v>
      </c>
      <c r="B84" s="570" t="s">
        <v>735</v>
      </c>
      <c r="C84" s="616" t="s">
        <v>403</v>
      </c>
      <c r="D84" s="1202">
        <f>SUM(E84:H84)</f>
        <v>0</v>
      </c>
      <c r="E84" s="1209">
        <v>0</v>
      </c>
      <c r="F84" s="516">
        <v>0</v>
      </c>
      <c r="G84" s="516">
        <v>0</v>
      </c>
      <c r="H84" s="517">
        <v>0</v>
      </c>
    </row>
    <row r="85" spans="1:9" ht="36" hidden="1" x14ac:dyDescent="0.2">
      <c r="A85" s="585" t="s">
        <v>184</v>
      </c>
      <c r="B85" s="562" t="s">
        <v>977</v>
      </c>
      <c r="C85" s="607" t="s">
        <v>393</v>
      </c>
      <c r="D85" s="1193">
        <f t="shared" ref="D85:H86" si="5">D86</f>
        <v>0</v>
      </c>
      <c r="E85" s="1213">
        <f t="shared" si="5"/>
        <v>0</v>
      </c>
      <c r="F85" s="563">
        <f t="shared" si="5"/>
        <v>0</v>
      </c>
      <c r="G85" s="563">
        <f t="shared" si="5"/>
        <v>0</v>
      </c>
      <c r="H85" s="580">
        <f t="shared" si="5"/>
        <v>0</v>
      </c>
    </row>
    <row r="86" spans="1:9" ht="36" hidden="1" x14ac:dyDescent="0.2">
      <c r="A86" s="586" t="s">
        <v>696</v>
      </c>
      <c r="B86" s="561" t="s">
        <v>394</v>
      </c>
      <c r="C86" s="614" t="s">
        <v>395</v>
      </c>
      <c r="D86" s="1189">
        <f>D87</f>
        <v>0</v>
      </c>
      <c r="E86" s="1222">
        <f t="shared" si="5"/>
        <v>0</v>
      </c>
      <c r="F86" s="513">
        <f t="shared" si="5"/>
        <v>0</v>
      </c>
      <c r="G86" s="513">
        <f t="shared" si="5"/>
        <v>0</v>
      </c>
      <c r="H86" s="514">
        <f t="shared" si="5"/>
        <v>0</v>
      </c>
    </row>
    <row r="87" spans="1:9" ht="51" hidden="1" x14ac:dyDescent="0.2">
      <c r="A87" s="20" t="s">
        <v>696</v>
      </c>
      <c r="B87" s="558" t="s">
        <v>591</v>
      </c>
      <c r="C87" s="615" t="s">
        <v>396</v>
      </c>
      <c r="D87" s="1200">
        <f>SUM(E87:H87)</f>
        <v>0</v>
      </c>
      <c r="E87" s="1214">
        <v>0</v>
      </c>
      <c r="F87" s="497">
        <v>0</v>
      </c>
      <c r="G87" s="497">
        <v>0</v>
      </c>
      <c r="H87" s="498">
        <v>0</v>
      </c>
    </row>
    <row r="88" spans="1:9" ht="37.5" x14ac:dyDescent="0.2">
      <c r="A88" s="587" t="s">
        <v>184</v>
      </c>
      <c r="B88" s="571" t="s">
        <v>726</v>
      </c>
      <c r="C88" s="617" t="s">
        <v>333</v>
      </c>
      <c r="D88" s="1299">
        <f>D89</f>
        <v>15947.3</v>
      </c>
      <c r="E88" s="1300">
        <f>E89</f>
        <v>4032.8680000000004</v>
      </c>
      <c r="F88" s="1301">
        <f>F89</f>
        <v>4138.652</v>
      </c>
      <c r="G88" s="1301">
        <f>G89</f>
        <v>3887.9090000000001</v>
      </c>
      <c r="H88" s="1302">
        <f>H89</f>
        <v>3887.8710000000001</v>
      </c>
    </row>
    <row r="89" spans="1:9" ht="28.5" x14ac:dyDescent="0.2">
      <c r="A89" s="585" t="s">
        <v>182</v>
      </c>
      <c r="B89" s="562" t="s">
        <v>727</v>
      </c>
      <c r="C89" s="607" t="s">
        <v>404</v>
      </c>
      <c r="D89" s="1195">
        <f>D90+D93</f>
        <v>15947.3</v>
      </c>
      <c r="E89" s="524">
        <f>E90+E93</f>
        <v>4032.8680000000004</v>
      </c>
      <c r="F89" s="524">
        <f>F90+F93</f>
        <v>4138.652</v>
      </c>
      <c r="G89" s="524">
        <f>G90+G93</f>
        <v>3887.9090000000001</v>
      </c>
      <c r="H89" s="524">
        <f>H90+H93</f>
        <v>3887.8710000000001</v>
      </c>
    </row>
    <row r="90" spans="1:9" ht="25.5" hidden="1" x14ac:dyDescent="0.2">
      <c r="A90" s="326" t="s">
        <v>184</v>
      </c>
      <c r="B90" s="572" t="s">
        <v>441</v>
      </c>
      <c r="C90" s="618" t="s">
        <v>442</v>
      </c>
      <c r="D90" s="1203">
        <f t="shared" ref="D90:H91" si="6">D91</f>
        <v>0</v>
      </c>
      <c r="E90" s="1224">
        <f t="shared" si="6"/>
        <v>0</v>
      </c>
      <c r="F90" s="519">
        <f t="shared" si="6"/>
        <v>0</v>
      </c>
      <c r="G90" s="519">
        <f t="shared" si="6"/>
        <v>0</v>
      </c>
      <c r="H90" s="520">
        <f t="shared" si="6"/>
        <v>0</v>
      </c>
    </row>
    <row r="91" spans="1:9" ht="13.5" hidden="1" x14ac:dyDescent="0.2">
      <c r="A91" s="302" t="s">
        <v>184</v>
      </c>
      <c r="B91" s="573" t="s">
        <v>437</v>
      </c>
      <c r="C91" s="619" t="s">
        <v>438</v>
      </c>
      <c r="D91" s="1196">
        <f t="shared" si="6"/>
        <v>0</v>
      </c>
      <c r="E91" s="1217">
        <f t="shared" si="6"/>
        <v>0</v>
      </c>
      <c r="F91" s="503">
        <f t="shared" si="6"/>
        <v>0</v>
      </c>
      <c r="G91" s="503">
        <f t="shared" si="6"/>
        <v>0</v>
      </c>
      <c r="H91" s="504">
        <f t="shared" si="6"/>
        <v>0</v>
      </c>
    </row>
    <row r="92" spans="1:9" ht="36" hidden="1" x14ac:dyDescent="0.2">
      <c r="A92" s="299" t="s">
        <v>696</v>
      </c>
      <c r="B92" s="558" t="s">
        <v>439</v>
      </c>
      <c r="C92" s="616" t="s">
        <v>440</v>
      </c>
      <c r="D92" s="1204">
        <f>SUM(E92:H92)</f>
        <v>0</v>
      </c>
      <c r="E92" s="1225">
        <v>0</v>
      </c>
      <c r="F92" s="522">
        <v>0</v>
      </c>
      <c r="G92" s="522">
        <v>0</v>
      </c>
      <c r="H92" s="523">
        <v>0</v>
      </c>
    </row>
    <row r="93" spans="1:9" ht="25.5" x14ac:dyDescent="0.2">
      <c r="A93" s="300" t="s">
        <v>184</v>
      </c>
      <c r="B93" s="574" t="s">
        <v>405</v>
      </c>
      <c r="C93" s="613" t="s">
        <v>406</v>
      </c>
      <c r="D93" s="1195">
        <f>D94+D98</f>
        <v>15947.3</v>
      </c>
      <c r="E93" s="524">
        <f>E94+E98</f>
        <v>4032.8680000000004</v>
      </c>
      <c r="F93" s="524">
        <f>F94+F98</f>
        <v>4138.652</v>
      </c>
      <c r="G93" s="524">
        <f>G94+G98</f>
        <v>3887.9090000000001</v>
      </c>
      <c r="H93" s="524">
        <f>H94+H98</f>
        <v>3887.8710000000001</v>
      </c>
    </row>
    <row r="94" spans="1:9" ht="39" customHeight="1" x14ac:dyDescent="0.2">
      <c r="A94" s="302" t="s">
        <v>184</v>
      </c>
      <c r="B94" s="575" t="s">
        <v>407</v>
      </c>
      <c r="C94" s="620" t="s">
        <v>634</v>
      </c>
      <c r="D94" s="1982">
        <f>D95</f>
        <v>3729.6</v>
      </c>
      <c r="E94" s="1983">
        <f>SUM(E96:E97)</f>
        <v>1090.9680000000001</v>
      </c>
      <c r="F94" s="1983">
        <f>SUM(F96:F97)</f>
        <v>1196.7519999999997</v>
      </c>
      <c r="G94" s="1983">
        <f>SUM(G96:G97)</f>
        <v>720.90900000000011</v>
      </c>
      <c r="H94" s="1983">
        <f>SUM(H96:H97)</f>
        <v>720.97100000000012</v>
      </c>
    </row>
    <row r="95" spans="1:9" ht="56.25" customHeight="1" x14ac:dyDescent="0.2">
      <c r="A95" s="1012" t="s">
        <v>184</v>
      </c>
      <c r="B95" s="575" t="s">
        <v>627</v>
      </c>
      <c r="C95" s="620" t="s">
        <v>1570</v>
      </c>
      <c r="D95" s="1982">
        <f>SUM(D96:D97)</f>
        <v>3729.6</v>
      </c>
      <c r="E95" s="1984">
        <f>SUM(E96:E97)</f>
        <v>1090.9680000000001</v>
      </c>
      <c r="F95" s="1985">
        <f>SUM(F96:F97)</f>
        <v>1196.7519999999997</v>
      </c>
      <c r="G95" s="1985">
        <f>SUM(G96:G97)</f>
        <v>720.90900000000011</v>
      </c>
      <c r="H95" s="1986">
        <f>SUM(H96:H97)</f>
        <v>720.97100000000012</v>
      </c>
    </row>
    <row r="96" spans="1:9" ht="63.75" x14ac:dyDescent="0.2">
      <c r="A96" s="20" t="s">
        <v>696</v>
      </c>
      <c r="B96" s="576" t="s">
        <v>1012</v>
      </c>
      <c r="C96" s="615" t="s">
        <v>57</v>
      </c>
      <c r="D96" s="1838">
        <f>SUM(E96:H96)</f>
        <v>3724</v>
      </c>
      <c r="E96" s="1839">
        <v>1090.9680000000001</v>
      </c>
      <c r="F96" s="1840">
        <f>1242.168-51.016</f>
        <v>1191.1519999999998</v>
      </c>
      <c r="G96" s="1840">
        <f>1090.968-370.059</f>
        <v>720.90900000000011</v>
      </c>
      <c r="H96" s="1841">
        <f>1090.968+0.028-370.025</f>
        <v>720.97100000000012</v>
      </c>
      <c r="I96" s="1263"/>
    </row>
    <row r="97" spans="1:9" ht="89.25" x14ac:dyDescent="0.2">
      <c r="A97" s="20" t="s">
        <v>696</v>
      </c>
      <c r="B97" s="576" t="s">
        <v>1013</v>
      </c>
      <c r="C97" s="615" t="s">
        <v>58</v>
      </c>
      <c r="D97" s="1205">
        <f>SUM(E97:H97)</f>
        <v>5.6</v>
      </c>
      <c r="E97" s="1226">
        <f>5-5</f>
        <v>0</v>
      </c>
      <c r="F97" s="947">
        <v>5.6</v>
      </c>
      <c r="G97" s="947">
        <v>0</v>
      </c>
      <c r="H97" s="948">
        <v>0</v>
      </c>
    </row>
    <row r="98" spans="1:9" ht="54" x14ac:dyDescent="0.2">
      <c r="A98" s="326" t="s">
        <v>184</v>
      </c>
      <c r="B98" s="949" t="s">
        <v>844</v>
      </c>
      <c r="C98" s="619" t="s">
        <v>626</v>
      </c>
      <c r="D98" s="1203">
        <f>SUM(E98:H98)</f>
        <v>12217.699999999999</v>
      </c>
      <c r="E98" s="1217">
        <f>E99</f>
        <v>2941.9</v>
      </c>
      <c r="F98" s="503">
        <f>F99</f>
        <v>2941.9</v>
      </c>
      <c r="G98" s="503">
        <f>G99</f>
        <v>3167</v>
      </c>
      <c r="H98" s="504">
        <f>H99</f>
        <v>3166.9</v>
      </c>
    </row>
    <row r="99" spans="1:9" ht="54" customHeight="1" x14ac:dyDescent="0.2">
      <c r="A99" s="950" t="s">
        <v>184</v>
      </c>
      <c r="B99" s="1011" t="s">
        <v>845</v>
      </c>
      <c r="C99" s="1010" t="s">
        <v>1578</v>
      </c>
      <c r="D99" s="1834">
        <f>SUM(D100:D101)</f>
        <v>12217.699999999999</v>
      </c>
      <c r="E99" s="1835">
        <f>SUM(E100:E101)</f>
        <v>2941.9</v>
      </c>
      <c r="F99" s="1836">
        <f>SUM(F100:F101)</f>
        <v>2941.9</v>
      </c>
      <c r="G99" s="1836">
        <f>SUM(G100:G101)</f>
        <v>3167</v>
      </c>
      <c r="H99" s="1837">
        <f>SUM(H100:H101)</f>
        <v>3166.9</v>
      </c>
    </row>
    <row r="100" spans="1:9" ht="41.25" customHeight="1" x14ac:dyDescent="0.2">
      <c r="A100" s="299" t="s">
        <v>696</v>
      </c>
      <c r="B100" s="577" t="s">
        <v>476</v>
      </c>
      <c r="C100" s="616" t="s">
        <v>630</v>
      </c>
      <c r="D100" s="1826">
        <f>SUM(E100:H100)</f>
        <v>9259.7999999999993</v>
      </c>
      <c r="E100" s="1827">
        <v>2315</v>
      </c>
      <c r="F100" s="1828">
        <v>2314.9</v>
      </c>
      <c r="G100" s="1828">
        <f>2315</f>
        <v>2315</v>
      </c>
      <c r="H100" s="1829">
        <f>2314.9</f>
        <v>2314.9</v>
      </c>
    </row>
    <row r="101" spans="1:9" ht="36.75" thickBot="1" x14ac:dyDescent="0.25">
      <c r="A101" s="734" t="s">
        <v>696</v>
      </c>
      <c r="B101" s="577" t="s">
        <v>477</v>
      </c>
      <c r="C101" s="616" t="s">
        <v>625</v>
      </c>
      <c r="D101" s="1830">
        <f>SUM(E101:H101)</f>
        <v>2957.9</v>
      </c>
      <c r="E101" s="1831">
        <v>626.9</v>
      </c>
      <c r="F101" s="1832">
        <v>627</v>
      </c>
      <c r="G101" s="1832">
        <f>626.9+225.1</f>
        <v>852</v>
      </c>
      <c r="H101" s="1833">
        <f>627+225</f>
        <v>852</v>
      </c>
    </row>
    <row r="102" spans="1:9" ht="19.5" thickBot="1" x14ac:dyDescent="0.3">
      <c r="A102" s="730"/>
      <c r="B102" s="731"/>
      <c r="C102" s="732" t="s">
        <v>652</v>
      </c>
      <c r="D102" s="733">
        <f>SUM(E102:H102)</f>
        <v>117659</v>
      </c>
      <c r="E102" s="626">
        <f>E19+E88</f>
        <v>20818.868000000002</v>
      </c>
      <c r="F102" s="593">
        <f>F19+F88</f>
        <v>28765.451999999997</v>
      </c>
      <c r="G102" s="593">
        <f>G19+G88</f>
        <v>36784.909</v>
      </c>
      <c r="H102" s="594">
        <f>H19+H88</f>
        <v>31289.771000000001</v>
      </c>
    </row>
    <row r="103" spans="1:9" ht="24.75" thickBot="1" x14ac:dyDescent="0.25">
      <c r="A103" s="589" t="s">
        <v>696</v>
      </c>
      <c r="B103" s="590" t="s">
        <v>907</v>
      </c>
      <c r="C103" s="621" t="s">
        <v>887</v>
      </c>
      <c r="D103" s="634">
        <f>SUM(E103:H103)</f>
        <v>6999.9999999999836</v>
      </c>
      <c r="E103" s="627">
        <f>-E104</f>
        <v>-2927.1200000000026</v>
      </c>
      <c r="F103" s="591">
        <f>-F104</f>
        <v>-6628.2910000000011</v>
      </c>
      <c r="G103" s="591">
        <f>-G104</f>
        <v>31987.931999999986</v>
      </c>
      <c r="H103" s="592">
        <f>-H104</f>
        <v>-15432.520999999999</v>
      </c>
    </row>
    <row r="104" spans="1:9" ht="13.5" customHeight="1" x14ac:dyDescent="0.2">
      <c r="A104" s="595" t="s">
        <v>696</v>
      </c>
      <c r="B104" s="596" t="s">
        <v>653</v>
      </c>
      <c r="C104" s="622" t="s">
        <v>976</v>
      </c>
      <c r="D104" s="635">
        <f>SUM(E104:H104)</f>
        <v>-6999.9999999999836</v>
      </c>
      <c r="E104" s="628">
        <f>E105-E109</f>
        <v>2927.1200000000026</v>
      </c>
      <c r="F104" s="597">
        <f>F105-F109</f>
        <v>6628.2910000000011</v>
      </c>
      <c r="G104" s="597">
        <f>G105-G109</f>
        <v>-31987.931999999986</v>
      </c>
      <c r="H104" s="598">
        <f>H105-H109</f>
        <v>15432.520999999999</v>
      </c>
      <c r="I104" s="1018"/>
    </row>
    <row r="105" spans="1:9" x14ac:dyDescent="0.2">
      <c r="A105" s="100" t="s">
        <v>696</v>
      </c>
      <c r="B105" s="535" t="s">
        <v>654</v>
      </c>
      <c r="C105" s="623" t="s">
        <v>249</v>
      </c>
      <c r="D105" s="521">
        <f t="shared" ref="D105:H107" si="7">D106</f>
        <v>117659</v>
      </c>
      <c r="E105" s="629">
        <f t="shared" si="7"/>
        <v>20818.868000000002</v>
      </c>
      <c r="F105" s="530">
        <f t="shared" si="7"/>
        <v>28765.451999999997</v>
      </c>
      <c r="G105" s="530">
        <f t="shared" si="7"/>
        <v>36784.909</v>
      </c>
      <c r="H105" s="599">
        <f t="shared" si="7"/>
        <v>31289.771000000001</v>
      </c>
    </row>
    <row r="106" spans="1:9" x14ac:dyDescent="0.2">
      <c r="A106" s="299" t="s">
        <v>696</v>
      </c>
      <c r="B106" s="531" t="s">
        <v>655</v>
      </c>
      <c r="C106" s="41" t="s">
        <v>830</v>
      </c>
      <c r="D106" s="636">
        <f t="shared" si="7"/>
        <v>117659</v>
      </c>
      <c r="E106" s="630">
        <f t="shared" si="7"/>
        <v>20818.868000000002</v>
      </c>
      <c r="F106" s="532">
        <f t="shared" si="7"/>
        <v>28765.451999999997</v>
      </c>
      <c r="G106" s="532">
        <f t="shared" si="7"/>
        <v>36784.909</v>
      </c>
      <c r="H106" s="600">
        <f t="shared" si="7"/>
        <v>31289.771000000001</v>
      </c>
    </row>
    <row r="107" spans="1:9" x14ac:dyDescent="0.2">
      <c r="A107" s="299" t="s">
        <v>696</v>
      </c>
      <c r="B107" s="531" t="s">
        <v>656</v>
      </c>
      <c r="C107" s="41" t="s">
        <v>832</v>
      </c>
      <c r="D107" s="636">
        <f t="shared" si="7"/>
        <v>117659</v>
      </c>
      <c r="E107" s="630">
        <f t="shared" si="7"/>
        <v>20818.868000000002</v>
      </c>
      <c r="F107" s="532">
        <f t="shared" si="7"/>
        <v>28765.451999999997</v>
      </c>
      <c r="G107" s="532">
        <f t="shared" si="7"/>
        <v>36784.909</v>
      </c>
      <c r="H107" s="600">
        <f t="shared" si="7"/>
        <v>31289.771000000001</v>
      </c>
    </row>
    <row r="108" spans="1:9" ht="37.5" customHeight="1" x14ac:dyDescent="0.2">
      <c r="A108" s="299" t="s">
        <v>696</v>
      </c>
      <c r="B108" s="531" t="s">
        <v>657</v>
      </c>
      <c r="C108" s="41" t="s">
        <v>1574</v>
      </c>
      <c r="D108" s="636">
        <f>SUM(E108:H108)</f>
        <v>117659</v>
      </c>
      <c r="E108" s="631">
        <f>E102</f>
        <v>20818.868000000002</v>
      </c>
      <c r="F108" s="533">
        <f>F102</f>
        <v>28765.451999999997</v>
      </c>
      <c r="G108" s="533">
        <f>G102</f>
        <v>36784.909</v>
      </c>
      <c r="H108" s="601">
        <f>H102</f>
        <v>31289.771000000001</v>
      </c>
      <c r="I108" s="1018"/>
    </row>
    <row r="109" spans="1:9" x14ac:dyDescent="0.2">
      <c r="A109" s="100" t="s">
        <v>696</v>
      </c>
      <c r="B109" s="535" t="s">
        <v>658</v>
      </c>
      <c r="C109" s="624" t="s">
        <v>552</v>
      </c>
      <c r="D109" s="521">
        <f t="shared" ref="D109:H111" si="8">D110</f>
        <v>124658.99999999999</v>
      </c>
      <c r="E109" s="629">
        <f t="shared" si="8"/>
        <v>17891.748</v>
      </c>
      <c r="F109" s="530">
        <f t="shared" si="8"/>
        <v>22137.160999999996</v>
      </c>
      <c r="G109" s="530">
        <f t="shared" si="8"/>
        <v>68772.840999999986</v>
      </c>
      <c r="H109" s="599">
        <f t="shared" si="8"/>
        <v>15857.250000000002</v>
      </c>
    </row>
    <row r="110" spans="1:9" x14ac:dyDescent="0.2">
      <c r="A110" s="299" t="s">
        <v>696</v>
      </c>
      <c r="B110" s="531" t="s">
        <v>659</v>
      </c>
      <c r="C110" s="41" t="s">
        <v>864</v>
      </c>
      <c r="D110" s="636">
        <f t="shared" si="8"/>
        <v>124658.99999999999</v>
      </c>
      <c r="E110" s="630">
        <f t="shared" si="8"/>
        <v>17891.748</v>
      </c>
      <c r="F110" s="532">
        <f t="shared" si="8"/>
        <v>22137.160999999996</v>
      </c>
      <c r="G110" s="532">
        <f t="shared" si="8"/>
        <v>68772.840999999986</v>
      </c>
      <c r="H110" s="600">
        <f t="shared" si="8"/>
        <v>15857.250000000002</v>
      </c>
    </row>
    <row r="111" spans="1:9" x14ac:dyDescent="0.2">
      <c r="A111" s="299" t="s">
        <v>696</v>
      </c>
      <c r="B111" s="534" t="s">
        <v>660</v>
      </c>
      <c r="C111" s="41" t="s">
        <v>865</v>
      </c>
      <c r="D111" s="636">
        <f t="shared" si="8"/>
        <v>124658.99999999999</v>
      </c>
      <c r="E111" s="630">
        <f t="shared" si="8"/>
        <v>17891.748</v>
      </c>
      <c r="F111" s="532">
        <f t="shared" si="8"/>
        <v>22137.160999999996</v>
      </c>
      <c r="G111" s="532">
        <f t="shared" si="8"/>
        <v>68772.840999999986</v>
      </c>
      <c r="H111" s="600">
        <f t="shared" si="8"/>
        <v>15857.250000000002</v>
      </c>
    </row>
    <row r="112" spans="1:9" ht="36" customHeight="1" thickBot="1" x14ac:dyDescent="0.25">
      <c r="A112" s="588" t="s">
        <v>696</v>
      </c>
      <c r="B112" s="555" t="s">
        <v>661</v>
      </c>
      <c r="C112" s="42" t="s">
        <v>1575</v>
      </c>
      <c r="D112" s="637">
        <f>SUM(E112:H112)</f>
        <v>124658.99999999999</v>
      </c>
      <c r="E112" s="632">
        <f>Бюд.р.!I601</f>
        <v>17891.748</v>
      </c>
      <c r="F112" s="556">
        <f>Бюд.р.!J601</f>
        <v>22137.160999999996</v>
      </c>
      <c r="G112" s="556">
        <f>Бюд.р.!K601</f>
        <v>68772.840999999986</v>
      </c>
      <c r="H112" s="602">
        <f>Бюд.р.!L601</f>
        <v>15857.250000000002</v>
      </c>
      <c r="I112" s="1018"/>
    </row>
    <row r="113" spans="1:9" ht="16.5" thickBot="1" x14ac:dyDescent="0.3">
      <c r="A113" s="143"/>
      <c r="B113" s="38"/>
      <c r="C113" s="625" t="s">
        <v>925</v>
      </c>
      <c r="D113" s="644">
        <f>SUM(D102:D103)</f>
        <v>124658.99999999999</v>
      </c>
      <c r="E113" s="633">
        <f>SUM(E102:E103)</f>
        <v>17891.748</v>
      </c>
      <c r="F113" s="557">
        <f>SUM(F102:F103)</f>
        <v>22137.160999999996</v>
      </c>
      <c r="G113" s="557">
        <f>SUM(G102:G103)</f>
        <v>68772.840999999986</v>
      </c>
      <c r="H113" s="557">
        <f>SUM(H102:H103)</f>
        <v>15857.250000000002</v>
      </c>
      <c r="I113" s="1018"/>
    </row>
    <row r="114" spans="1:9" ht="14.25" x14ac:dyDescent="0.2">
      <c r="A114" s="16"/>
      <c r="B114" s="16"/>
    </row>
    <row r="115" spans="1:9" x14ac:dyDescent="0.2">
      <c r="A115" s="536"/>
      <c r="B115" s="3041" t="s">
        <v>388</v>
      </c>
      <c r="C115" s="3041"/>
      <c r="F115" s="2978" t="s">
        <v>1465</v>
      </c>
      <c r="G115" s="2978"/>
      <c r="H115" s="2978"/>
    </row>
    <row r="116" spans="1:9" x14ac:dyDescent="0.2">
      <c r="A116" s="536"/>
      <c r="B116" s="536"/>
      <c r="C116" s="536"/>
      <c r="F116" s="2978"/>
      <c r="G116" s="2978"/>
      <c r="H116" s="2978"/>
    </row>
    <row r="117" spans="1:9" x14ac:dyDescent="0.2">
      <c r="A117" s="536"/>
      <c r="B117" s="3041" t="s">
        <v>389</v>
      </c>
      <c r="C117" s="3041"/>
      <c r="F117" s="2978" t="s">
        <v>1430</v>
      </c>
      <c r="G117" s="2978"/>
      <c r="H117" s="2978"/>
    </row>
  </sheetData>
  <mergeCells count="27">
    <mergeCell ref="C12:H12"/>
    <mergeCell ref="C7:H7"/>
    <mergeCell ref="C8:H8"/>
    <mergeCell ref="A13:H13"/>
    <mergeCell ref="A16:H16"/>
    <mergeCell ref="A14:H14"/>
    <mergeCell ref="C11:H11"/>
    <mergeCell ref="F116:H116"/>
    <mergeCell ref="F115:H115"/>
    <mergeCell ref="G17:G18"/>
    <mergeCell ref="A15:H15"/>
    <mergeCell ref="H17:H18"/>
    <mergeCell ref="C4:H4"/>
    <mergeCell ref="C5:H5"/>
    <mergeCell ref="E17:E18"/>
    <mergeCell ref="A17:B17"/>
    <mergeCell ref="C10:H10"/>
    <mergeCell ref="C1:H1"/>
    <mergeCell ref="C2:H2"/>
    <mergeCell ref="C3:H3"/>
    <mergeCell ref="C6:H6"/>
    <mergeCell ref="C9:H9"/>
    <mergeCell ref="B117:C117"/>
    <mergeCell ref="B115:C115"/>
    <mergeCell ref="F17:F18"/>
    <mergeCell ref="F117:H117"/>
    <mergeCell ref="C17:C18"/>
  </mergeCells>
  <phoneticPr fontId="11" type="noConversion"/>
  <pageMargins left="0.75" right="0.4" top="0.64" bottom="0.57999999999999996" header="0.43" footer="0.3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пер.ф.п.</vt:lpstr>
      <vt:lpstr>Св.б.рос.</vt:lpstr>
      <vt:lpstr>ДОХ.Пр.1</vt:lpstr>
      <vt:lpstr>св.б.р</vt:lpstr>
      <vt:lpstr>ВЕД.СТ Пр.2.</vt:lpstr>
      <vt:lpstr>Оценка ожид дох</vt:lpstr>
      <vt:lpstr>ИФ.Пр.4</vt:lpstr>
      <vt:lpstr>Бюд.р.</vt:lpstr>
      <vt:lpstr>кв</vt:lpstr>
      <vt:lpstr>Срперпфинплан</vt:lpstr>
      <vt:lpstr>Кас</vt:lpstr>
      <vt:lpstr>Ср пл</vt:lpstr>
      <vt:lpstr>Лист1</vt:lpstr>
      <vt:lpstr>Пцс</vt:lpstr>
      <vt:lpstr>Рас.Пр.3</vt:lpstr>
      <vt:lpstr>Рас </vt:lpstr>
      <vt:lpstr>'ВЕД.СТ Пр.2.'!Область_печати</vt:lpstr>
      <vt:lpstr>св.б.р!Область_печати</vt:lpstr>
      <vt:lpstr>Св.б.рос.!Область_печати</vt:lpstr>
    </vt:vector>
  </TitlesOfParts>
  <Company>Unknown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2015-07-01T06:52:50Z</cp:lastPrinted>
  <dcterms:created xsi:type="dcterms:W3CDTF">2005-01-25T09:10:50Z</dcterms:created>
  <dcterms:modified xsi:type="dcterms:W3CDTF">2015-07-03T08:13:32Z</dcterms:modified>
</cp:coreProperties>
</file>